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orres\Desktop\"/>
    </mc:Choice>
  </mc:AlternateContent>
  <xr:revisionPtr revIDLastSave="0" documentId="13_ncr:1_{D57DCDD2-2505-406C-A621-192D5CF2CE76}" xr6:coauthVersionLast="47" xr6:coauthVersionMax="47" xr10:uidLastSave="{00000000-0000-0000-0000-000000000000}"/>
  <bookViews>
    <workbookView xWindow="-120" yWindow="-120" windowWidth="22680" windowHeight="13530" firstSheet="6" activeTab="7" xr2:uid="{F8770B91-E809-428C-8AB9-3476872F38E8}"/>
  </bookViews>
  <sheets>
    <sheet name="Auxiliar" sheetId="5" r:id="rId1"/>
    <sheet name="Registro de cambios" sheetId="4" r:id="rId2"/>
    <sheet name="Hoja1" sheetId="1" r:id="rId3"/>
    <sheet name="Guía" sheetId="2" r:id="rId4"/>
    <sheet name="Ejemplo resuelto" sheetId="3" r:id="rId5"/>
    <sheet name="TablaDinámica" sheetId="6" r:id="rId6"/>
    <sheet name="GráficoDinámico" sheetId="7" r:id="rId7"/>
    <sheet name="KPIs" sheetId="8" r:id="rId8"/>
  </sheets>
  <definedNames>
    <definedName name="_xlnm._FilterDatabase" localSheetId="2" hidden="1">Hoja1!$A$1:$P$46</definedName>
    <definedName name="ListaFarmaceuticos">TablaFarmaceuticos[Farmacéutico]</definedName>
  </definedNames>
  <calcPr calcId="191029"/>
  <pivotCaches>
    <pivotCache cacheId="0" r:id="rId9"/>
    <pivotCache cacheId="1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4" i="8" l="1"/>
  <c r="B113" i="8"/>
  <c r="B112" i="8"/>
  <c r="B111" i="8"/>
  <c r="B110" i="8"/>
  <c r="B109" i="8"/>
  <c r="C105" i="8"/>
  <c r="B105" i="8"/>
  <c r="C104" i="8" a="1"/>
  <c r="C104" i="8" s="1"/>
  <c r="B104" i="8" a="1"/>
  <c r="B104" i="8" s="1"/>
  <c r="C103" i="8" a="1"/>
  <c r="C103" i="8" s="1"/>
  <c r="B103" i="8" a="1"/>
  <c r="B103" i="8" s="1"/>
  <c r="C102" i="8" a="1"/>
  <c r="C102" i="8" s="1"/>
  <c r="B102" i="8" a="1"/>
  <c r="B102" i="8" s="1"/>
  <c r="A102" i="8" a="1"/>
  <c r="A102" i="8" s="1"/>
  <c r="C98" i="8"/>
  <c r="B98" i="8"/>
  <c r="B96" i="8"/>
  <c r="C96" i="8" s="1"/>
  <c r="B95" i="8"/>
  <c r="C95" i="8" s="1"/>
  <c r="B94" i="8"/>
  <c r="C94" i="8" s="1"/>
  <c r="B93" i="8"/>
  <c r="C93" i="8" s="1"/>
  <c r="C92" i="8"/>
  <c r="B92" i="8"/>
  <c r="A92" i="8" a="1"/>
  <c r="A92" i="8" s="1"/>
  <c r="F88" i="8"/>
  <c r="E88" i="8"/>
  <c r="D88" i="8"/>
  <c r="C88" i="8"/>
  <c r="E86" i="8"/>
  <c r="F86" i="8" s="1"/>
  <c r="D86" i="8"/>
  <c r="C86" i="8"/>
  <c r="B86" i="8"/>
  <c r="E85" i="8"/>
  <c r="F85" i="8" s="1"/>
  <c r="D85" i="8"/>
  <c r="C85" i="8"/>
  <c r="B85" i="8"/>
  <c r="E84" i="8"/>
  <c r="F84" i="8" s="1"/>
  <c r="D84" i="8"/>
  <c r="C84" i="8"/>
  <c r="B84" i="8"/>
  <c r="F83" i="8"/>
  <c r="E83" i="8"/>
  <c r="D83" i="8"/>
  <c r="C83" i="8"/>
  <c r="B83" i="8"/>
  <c r="E82" i="8"/>
  <c r="F82" i="8" s="1"/>
  <c r="D82" i="8"/>
  <c r="C82" i="8"/>
  <c r="B82" i="8"/>
  <c r="F81" i="8"/>
  <c r="E81" i="8"/>
  <c r="D81" i="8"/>
  <c r="C81" i="8"/>
  <c r="B81" i="8"/>
  <c r="E80" i="8"/>
  <c r="F80" i="8" s="1"/>
  <c r="D80" i="8"/>
  <c r="C80" i="8"/>
  <c r="B80" i="8"/>
  <c r="E79" i="8"/>
  <c r="F79" i="8" s="1"/>
  <c r="D79" i="8"/>
  <c r="C79" i="8"/>
  <c r="B79" i="8"/>
  <c r="E78" i="8"/>
  <c r="F78" i="8" s="1"/>
  <c r="D78" i="8"/>
  <c r="C78" i="8"/>
  <c r="B78" i="8"/>
  <c r="E77" i="8"/>
  <c r="F77" i="8" s="1"/>
  <c r="D77" i="8"/>
  <c r="C77" i="8"/>
  <c r="B77" i="8"/>
  <c r="E76" i="8"/>
  <c r="F76" i="8" s="1"/>
  <c r="D76" i="8"/>
  <c r="C76" i="8"/>
  <c r="B76" i="8"/>
  <c r="E75" i="8"/>
  <c r="F75" i="8" s="1"/>
  <c r="D75" i="8"/>
  <c r="C75" i="8"/>
  <c r="B75" i="8"/>
  <c r="E74" i="8"/>
  <c r="F74" i="8" s="1"/>
  <c r="D74" i="8"/>
  <c r="C74" i="8"/>
  <c r="B74" i="8"/>
  <c r="E73" i="8"/>
  <c r="F73" i="8" s="1"/>
  <c r="D73" i="8"/>
  <c r="C73" i="8"/>
  <c r="B73" i="8"/>
  <c r="E72" i="8"/>
  <c r="F72" i="8" s="1"/>
  <c r="D72" i="8"/>
  <c r="C72" i="8"/>
  <c r="B72" i="8"/>
  <c r="F71" i="8"/>
  <c r="E71" i="8"/>
  <c r="D71" i="8"/>
  <c r="C71" i="8"/>
  <c r="B71" i="8"/>
  <c r="E70" i="8"/>
  <c r="D70" i="8"/>
  <c r="C70" i="8"/>
  <c r="F70" i="8" s="1"/>
  <c r="B70" i="8"/>
  <c r="F69" i="8"/>
  <c r="E69" i="8"/>
  <c r="D69" i="8"/>
  <c r="C69" i="8"/>
  <c r="B69" i="8"/>
  <c r="E68" i="8"/>
  <c r="F68" i="8" s="1"/>
  <c r="D68" i="8"/>
  <c r="C68" i="8"/>
  <c r="B68" i="8"/>
  <c r="E67" i="8"/>
  <c r="F67" i="8" s="1"/>
  <c r="D67" i="8"/>
  <c r="C67" i="8"/>
  <c r="B67" i="8"/>
  <c r="E66" i="8"/>
  <c r="F66" i="8" s="1"/>
  <c r="D66" i="8"/>
  <c r="C66" i="8"/>
  <c r="B66" i="8"/>
  <c r="E65" i="8"/>
  <c r="F65" i="8" s="1"/>
  <c r="D65" i="8"/>
  <c r="C65" i="8"/>
  <c r="B65" i="8"/>
  <c r="E64" i="8"/>
  <c r="F64" i="8" s="1"/>
  <c r="D64" i="8"/>
  <c r="C64" i="8"/>
  <c r="B64" i="8"/>
  <c r="E63" i="8"/>
  <c r="F63" i="8" s="1"/>
  <c r="D63" i="8"/>
  <c r="C63" i="8"/>
  <c r="B63" i="8"/>
  <c r="E62" i="8"/>
  <c r="F62" i="8" s="1"/>
  <c r="D62" i="8"/>
  <c r="C62" i="8"/>
  <c r="B62" i="8"/>
  <c r="E61" i="8"/>
  <c r="F61" i="8" s="1"/>
  <c r="D61" i="8"/>
  <c r="C61" i="8"/>
  <c r="B61" i="8"/>
  <c r="E60" i="8"/>
  <c r="F60" i="8" s="1"/>
  <c r="D60" i="8"/>
  <c r="C60" i="8"/>
  <c r="B60" i="8"/>
  <c r="F59" i="8"/>
  <c r="E59" i="8"/>
  <c r="D59" i="8"/>
  <c r="C59" i="8"/>
  <c r="B59" i="8"/>
  <c r="E58" i="8"/>
  <c r="D58" i="8"/>
  <c r="C58" i="8"/>
  <c r="F58" i="8" s="1"/>
  <c r="B58" i="8"/>
  <c r="F57" i="8"/>
  <c r="E57" i="8"/>
  <c r="D57" i="8"/>
  <c r="C57" i="8"/>
  <c r="B57" i="8"/>
  <c r="A57" i="8" a="1"/>
  <c r="A57" i="8" s="1"/>
  <c r="E53" i="8"/>
  <c r="D53" i="8"/>
  <c r="C53" i="8"/>
  <c r="B53" i="8"/>
  <c r="D51" i="8"/>
  <c r="E51" i="8" s="1"/>
  <c r="C51" i="8"/>
  <c r="B51" i="8"/>
  <c r="D50" i="8"/>
  <c r="E50" i="8" s="1"/>
  <c r="C50" i="8"/>
  <c r="B50" i="8"/>
  <c r="D49" i="8"/>
  <c r="E49" i="8" s="1"/>
  <c r="C49" i="8"/>
  <c r="B49" i="8"/>
  <c r="E48" i="8"/>
  <c r="D48" i="8"/>
  <c r="C48" i="8"/>
  <c r="B48" i="8"/>
  <c r="A48" i="8" a="1"/>
  <c r="A48" i="8" s="1"/>
  <c r="E44" i="8"/>
  <c r="D44" i="8"/>
  <c r="C44" i="8"/>
  <c r="B44" i="8"/>
  <c r="D42" i="8"/>
  <c r="E42" i="8" s="1"/>
  <c r="C42" i="8"/>
  <c r="B42" i="8"/>
  <c r="D41" i="8"/>
  <c r="E41" i="8" s="1"/>
  <c r="C41" i="8"/>
  <c r="B41" i="8"/>
  <c r="D40" i="8"/>
  <c r="E40" i="8" s="1"/>
  <c r="C40" i="8"/>
  <c r="B40" i="8"/>
  <c r="E39" i="8"/>
  <c r="D39" i="8"/>
  <c r="C39" i="8"/>
  <c r="B39" i="8"/>
  <c r="A39" i="8" a="1"/>
  <c r="A39" i="8" s="1"/>
  <c r="F34" i="8"/>
  <c r="E34" i="8"/>
  <c r="D34" i="8"/>
  <c r="C34" i="8"/>
  <c r="B34" i="8"/>
  <c r="D32" i="8"/>
  <c r="F32" i="8" s="1"/>
  <c r="C32" i="8"/>
  <c r="B32" i="8"/>
  <c r="D31" i="8"/>
  <c r="F31" i="8" s="1"/>
  <c r="C31" i="8"/>
  <c r="B31" i="8"/>
  <c r="D30" i="8"/>
  <c r="F30" i="8" s="1"/>
  <c r="C30" i="8"/>
  <c r="B30" i="8"/>
  <c r="E30" i="8" s="1"/>
  <c r="D29" i="8"/>
  <c r="F29" i="8" s="1"/>
  <c r="C29" i="8"/>
  <c r="B29" i="8"/>
  <c r="D28" i="8"/>
  <c r="E28" i="8" s="1"/>
  <c r="C28" i="8"/>
  <c r="B28" i="8"/>
  <c r="D27" i="8"/>
  <c r="F27" i="8" s="1"/>
  <c r="C27" i="8"/>
  <c r="B27" i="8"/>
  <c r="E27" i="8" s="1"/>
  <c r="D26" i="8"/>
  <c r="F26" i="8" s="1"/>
  <c r="C26" i="8"/>
  <c r="B26" i="8"/>
  <c r="F25" i="8"/>
  <c r="E25" i="8"/>
  <c r="D25" i="8"/>
  <c r="C25" i="8"/>
  <c r="B25" i="8"/>
  <c r="A25" i="8" a="1"/>
  <c r="A25" i="8" s="1"/>
  <c r="B21" i="8"/>
  <c r="B20" i="8"/>
  <c r="B19" i="8"/>
  <c r="B18" i="8"/>
  <c r="B17" i="8"/>
  <c r="B16" i="8"/>
  <c r="B15" i="8" a="1"/>
  <c r="B15" i="8" s="1"/>
  <c r="B14" i="8" a="1"/>
  <c r="B14" i="8" s="1"/>
  <c r="B13" i="8" a="1"/>
  <c r="B13" i="8" s="1"/>
  <c r="B12" i="8" a="1"/>
  <c r="B12" i="8" s="1"/>
  <c r="B11" i="8" a="1"/>
  <c r="B11" i="8" s="1"/>
  <c r="B10" i="8"/>
  <c r="B9" i="8"/>
  <c r="B8" i="8"/>
  <c r="B7" i="8"/>
  <c r="B6" i="8"/>
  <c r="O55" i="1"/>
  <c r="O54" i="1"/>
  <c r="O53" i="1"/>
  <c r="O52" i="1"/>
  <c r="O51" i="1"/>
  <c r="O50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O3" i="1"/>
  <c r="P3" i="1"/>
  <c r="O4" i="1"/>
  <c r="P4" i="1" s="1"/>
  <c r="O5" i="1"/>
  <c r="P5" i="1" s="1"/>
  <c r="O6" i="1"/>
  <c r="P6" i="1" s="1"/>
  <c r="O7" i="1"/>
  <c r="P7" i="1" s="1"/>
  <c r="O8" i="1"/>
  <c r="P8" i="1"/>
  <c r="O9" i="1"/>
  <c r="P9" i="1" s="1"/>
  <c r="O10" i="1"/>
  <c r="P10" i="1"/>
  <c r="O11" i="1"/>
  <c r="P11" i="1" s="1"/>
  <c r="O12" i="1"/>
  <c r="P12" i="1" s="1"/>
  <c r="O13" i="1"/>
  <c r="P13" i="1" s="1"/>
  <c r="O14" i="1"/>
  <c r="P14" i="1"/>
  <c r="O15" i="1"/>
  <c r="P15" i="1"/>
  <c r="O16" i="1"/>
  <c r="P16" i="1" s="1"/>
  <c r="O17" i="1"/>
  <c r="P17" i="1" s="1"/>
  <c r="O18" i="1"/>
  <c r="P18" i="1" s="1"/>
  <c r="O19" i="1"/>
  <c r="P19" i="1" s="1"/>
  <c r="O20" i="1"/>
  <c r="P20" i="1"/>
  <c r="O21" i="1"/>
  <c r="P21" i="1"/>
  <c r="O22" i="1"/>
  <c r="P22" i="1"/>
  <c r="O23" i="1"/>
  <c r="P23" i="1" s="1"/>
  <c r="O24" i="1"/>
  <c r="P24" i="1" s="1"/>
  <c r="O25" i="1"/>
  <c r="P25" i="1" s="1"/>
  <c r="O26" i="1"/>
  <c r="P26" i="1"/>
  <c r="O27" i="1"/>
  <c r="P27" i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/>
  <c r="O34" i="1"/>
  <c r="P34" i="1" s="1"/>
  <c r="O35" i="1"/>
  <c r="P35" i="1"/>
  <c r="O36" i="1"/>
  <c r="P36" i="1" s="1"/>
  <c r="O37" i="1"/>
  <c r="P37" i="1" s="1"/>
  <c r="O38" i="1"/>
  <c r="P38" i="1"/>
  <c r="O39" i="1"/>
  <c r="P39" i="1" s="1"/>
  <c r="O40" i="1"/>
  <c r="P40" i="1" s="1"/>
  <c r="O41" i="1"/>
  <c r="P41" i="1"/>
  <c r="O42" i="1"/>
  <c r="P42" i="1" s="1"/>
  <c r="O43" i="1"/>
  <c r="P43" i="1" s="1"/>
  <c r="O44" i="1"/>
  <c r="P44" i="1" s="1"/>
  <c r="O45" i="1"/>
  <c r="P45" i="1" s="1"/>
  <c r="O46" i="1"/>
  <c r="P46" i="1" s="1"/>
  <c r="O2" i="1"/>
  <c r="P2" i="1" s="1"/>
  <c r="P49" i="3"/>
  <c r="O49" i="3"/>
  <c r="Q49" i="3" s="1"/>
  <c r="Q48" i="3"/>
  <c r="P48" i="3"/>
  <c r="O48" i="3"/>
  <c r="Q47" i="3"/>
  <c r="P47" i="3"/>
  <c r="O47" i="3"/>
  <c r="P46" i="3"/>
  <c r="O46" i="3"/>
  <c r="Q46" i="3" s="1"/>
  <c r="P45" i="3"/>
  <c r="O45" i="3"/>
  <c r="Q45" i="3" s="1"/>
  <c r="Q44" i="3"/>
  <c r="P44" i="3"/>
  <c r="O44" i="3"/>
  <c r="Q43" i="3"/>
  <c r="P43" i="3"/>
  <c r="O43" i="3"/>
  <c r="Q42" i="3"/>
  <c r="P42" i="3"/>
  <c r="O42" i="3"/>
  <c r="P41" i="3"/>
  <c r="O41" i="3"/>
  <c r="Q41" i="3" s="1"/>
  <c r="Q40" i="3"/>
  <c r="P40" i="3"/>
  <c r="O40" i="3"/>
  <c r="Q39" i="3"/>
  <c r="P39" i="3"/>
  <c r="O39" i="3"/>
  <c r="P38" i="3"/>
  <c r="O38" i="3"/>
  <c r="Q38" i="3" s="1"/>
  <c r="P37" i="3"/>
  <c r="O37" i="3"/>
  <c r="Q37" i="3" s="1"/>
  <c r="Q36" i="3"/>
  <c r="P36" i="3"/>
  <c r="O36" i="3"/>
  <c r="Q35" i="3"/>
  <c r="P35" i="3"/>
  <c r="O35" i="3"/>
  <c r="P34" i="3"/>
  <c r="O34" i="3"/>
  <c r="Q34" i="3" s="1"/>
  <c r="P33" i="3"/>
  <c r="O33" i="3"/>
  <c r="Q33" i="3" s="1"/>
  <c r="Q32" i="3"/>
  <c r="P32" i="3"/>
  <c r="O32" i="3"/>
  <c r="Q31" i="3"/>
  <c r="P31" i="3"/>
  <c r="O31" i="3"/>
  <c r="P30" i="3"/>
  <c r="O30" i="3"/>
  <c r="Q30" i="3" s="1"/>
  <c r="P29" i="3"/>
  <c r="O29" i="3"/>
  <c r="Q29" i="3" s="1"/>
  <c r="Q28" i="3"/>
  <c r="P28" i="3"/>
  <c r="O28" i="3"/>
  <c r="Q27" i="3"/>
  <c r="P27" i="3"/>
  <c r="O27" i="3"/>
  <c r="P26" i="3"/>
  <c r="O26" i="3"/>
  <c r="Q26" i="3" s="1"/>
  <c r="P25" i="3"/>
  <c r="O25" i="3"/>
  <c r="Q25" i="3" s="1"/>
  <c r="Q24" i="3"/>
  <c r="P24" i="3"/>
  <c r="O24" i="3"/>
  <c r="Q23" i="3"/>
  <c r="P23" i="3"/>
  <c r="O23" i="3"/>
  <c r="P22" i="3"/>
  <c r="O22" i="3"/>
  <c r="Q22" i="3" s="1"/>
  <c r="P21" i="3"/>
  <c r="O21" i="3"/>
  <c r="Q21" i="3" s="1"/>
  <c r="Q20" i="3"/>
  <c r="P20" i="3"/>
  <c r="O20" i="3"/>
  <c r="Q19" i="3"/>
  <c r="P19" i="3"/>
  <c r="O19" i="3"/>
  <c r="P18" i="3"/>
  <c r="O18" i="3"/>
  <c r="Q18" i="3" s="1"/>
  <c r="P17" i="3"/>
  <c r="O17" i="3"/>
  <c r="Q17" i="3" s="1"/>
  <c r="Q16" i="3"/>
  <c r="P16" i="3"/>
  <c r="O16" i="3"/>
  <c r="Q15" i="3"/>
  <c r="P15" i="3"/>
  <c r="O15" i="3"/>
  <c r="P14" i="3"/>
  <c r="O14" i="3"/>
  <c r="Q14" i="3" s="1"/>
  <c r="P13" i="3"/>
  <c r="O13" i="3"/>
  <c r="Q13" i="3" s="1"/>
  <c r="Q12" i="3"/>
  <c r="P12" i="3"/>
  <c r="O12" i="3"/>
  <c r="Q11" i="3"/>
  <c r="P11" i="3"/>
  <c r="O11" i="3"/>
  <c r="P10" i="3"/>
  <c r="O10" i="3"/>
  <c r="Q10" i="3" s="1"/>
  <c r="P9" i="3"/>
  <c r="O9" i="3"/>
  <c r="Q9" i="3" s="1"/>
  <c r="Q8" i="3"/>
  <c r="P8" i="3"/>
  <c r="O8" i="3"/>
  <c r="Q7" i="3"/>
  <c r="P7" i="3"/>
  <c r="O7" i="3"/>
  <c r="P6" i="3"/>
  <c r="O6" i="3"/>
  <c r="Q6" i="3" s="1"/>
  <c r="Q5" i="3"/>
  <c r="P5" i="3"/>
  <c r="O5" i="3"/>
  <c r="F28" i="8" l="1"/>
  <c r="E26" i="8"/>
  <c r="E31" i="8"/>
  <c r="E29" i="8"/>
  <c r="E3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R1" authorId="0" shapeId="0" xr:uid="{CBB77678-E036-4762-B1C3-0F23D9ABDD1E}">
      <text>
        <r>
          <rPr>
            <b/>
            <sz val="9"/>
            <color indexed="81"/>
            <rFont val="Tahoma"/>
            <charset val="1"/>
          </rPr>
          <t>Administrador:</t>
        </r>
        <r>
          <rPr>
            <sz val="9"/>
            <color indexed="81"/>
            <rFont val="Tahoma"/>
            <charset val="1"/>
          </rPr>
          <t xml:space="preserve">
Clasificación manual de la observación en uno de los 5 temas: Reacción adversa, Alergia, Estupefacientes, Stock/Incidencia, Seguimiento clínico.</t>
        </r>
      </text>
    </comment>
    <comment ref="R16" authorId="0" shapeId="0" xr:uid="{171915F1-DB6F-4AED-AA6E-AF23FCA28225}">
      <text>
        <r>
          <rPr>
            <b/>
            <sz val="9"/>
            <color indexed="81"/>
            <rFont val="Tahoma"/>
            <charset val="1"/>
          </rPr>
          <t>Administrador:</t>
        </r>
        <r>
          <rPr>
            <sz val="9"/>
            <color indexed="81"/>
            <rFont val="Tahoma"/>
            <charset val="1"/>
          </rPr>
          <t xml:space="preserve">
También menciona incidencia de registro (cantidad negativa); tema dominante: reacción adversa.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<sst xmlns="http://schemas.openxmlformats.org/spreadsheetml/2006/main" count="1290" uniqueCount="397">
  <si>
    <t>ID</t>
  </si>
  <si>
    <t>Fecha dispensación</t>
  </si>
  <si>
    <t>Servicio</t>
  </si>
  <si>
    <t>Medicamento</t>
  </si>
  <si>
    <t>Principio activo</t>
  </si>
  <si>
    <t>Cantidad</t>
  </si>
  <si>
    <t>Unidad</t>
  </si>
  <si>
    <t>Precio unitario (€)</t>
  </si>
  <si>
    <t>Coste total (€)</t>
  </si>
  <si>
    <t>Proveedor</t>
  </si>
  <si>
    <t>Lote</t>
  </si>
  <si>
    <t>Fecha caducidad</t>
  </si>
  <si>
    <t>Farmacéutico</t>
  </si>
  <si>
    <t>Observaciones</t>
  </si>
  <si>
    <t>D-1001</t>
  </si>
  <si>
    <t>Cardiología</t>
  </si>
  <si>
    <t>Enalapril 10mg</t>
  </si>
  <si>
    <t>Enalapril</t>
  </si>
  <si>
    <t>comprimidos</t>
  </si>
  <si>
    <t>Kern Pharma</t>
  </si>
  <si>
    <t>L23A</t>
  </si>
  <si>
    <t>Ana Ruiz</t>
  </si>
  <si>
    <t>Tratamiento crónico de HTA, revisión en 3 meses.</t>
  </si>
  <si>
    <t>D-1002</t>
  </si>
  <si>
    <t>urgencias</t>
  </si>
  <si>
    <t>Paracetamol 1g</t>
  </si>
  <si>
    <t>Paracetamol</t>
  </si>
  <si>
    <t>Normon</t>
  </si>
  <si>
    <t>P11B</t>
  </si>
  <si>
    <t>Luis Gómez</t>
  </si>
  <si>
    <t>Dispensación urgente nocturna.</t>
  </si>
  <si>
    <t>D-1003</t>
  </si>
  <si>
    <t>UCI</t>
  </si>
  <si>
    <t>Morfina 10mg/ml</t>
  </si>
  <si>
    <t>Morfina</t>
  </si>
  <si>
    <t>ampollas</t>
  </si>
  <si>
    <t>Sanofi</t>
  </si>
  <si>
    <t>M09C</t>
  </si>
  <si>
    <t>Marta Sánchez</t>
  </si>
  <si>
    <t>Control de estupefacientes verificado por dos técnicos.</t>
  </si>
  <si>
    <t>D-1004</t>
  </si>
  <si>
    <t>Pediatría</t>
  </si>
  <si>
    <t>Amoxicilina 250mg</t>
  </si>
  <si>
    <t>Amoxicilina</t>
  </si>
  <si>
    <t>sobres</t>
  </si>
  <si>
    <t>A77D</t>
  </si>
  <si>
    <t>Pedro Díaz</t>
  </si>
  <si>
    <t>Paciente con posible alergia a penicilina, se avisa al médico.</t>
  </si>
  <si>
    <t>D-1005</t>
  </si>
  <si>
    <t>CARDIOLOGIA</t>
  </si>
  <si>
    <t>Furosemida 40mg</t>
  </si>
  <si>
    <t>Furosemida</t>
  </si>
  <si>
    <t>F32E</t>
  </si>
  <si>
    <t>ana ruiz</t>
  </si>
  <si>
    <t>Ajuste de dosis por función renal.</t>
  </si>
  <si>
    <t>D-1006</t>
  </si>
  <si>
    <t>Oncología</t>
  </si>
  <si>
    <t>Ondansetrón 8mg</t>
  </si>
  <si>
    <t>Ondansetrón</t>
  </si>
  <si>
    <t>O55F</t>
  </si>
  <si>
    <t>Prevención de náuseas por quimioterapia.</t>
  </si>
  <si>
    <t>D-1007</t>
  </si>
  <si>
    <t>Metamizol 575mg</t>
  </si>
  <si>
    <t>Metamizol</t>
  </si>
  <si>
    <t>cápsulas</t>
  </si>
  <si>
    <t>ME14</t>
  </si>
  <si>
    <t>Dolor agudo, buena tolerancia.</t>
  </si>
  <si>
    <t>D-1008</t>
  </si>
  <si>
    <t>Medicina Interna</t>
  </si>
  <si>
    <t>Omeprazol 20mg</t>
  </si>
  <si>
    <t>Omeprazol</t>
  </si>
  <si>
    <t>OM22</t>
  </si>
  <si>
    <t>Protección gástrica en polimedicado.</t>
  </si>
  <si>
    <t>D-1009</t>
  </si>
  <si>
    <t>Traumatología</t>
  </si>
  <si>
    <t>Enoxaparina 40mg</t>
  </si>
  <si>
    <t>Enoxaparina</t>
  </si>
  <si>
    <t>jeringas</t>
  </si>
  <si>
    <t>EN80</t>
  </si>
  <si>
    <t>Profilaxis tromboembólica postquirúrgica.</t>
  </si>
  <si>
    <t>D-1010</t>
  </si>
  <si>
    <t>uci</t>
  </si>
  <si>
    <t>Noradrenalina 1mg/ml</t>
  </si>
  <si>
    <t>Noradrenalina</t>
  </si>
  <si>
    <t>Pfizer</t>
  </si>
  <si>
    <t>NA31</t>
  </si>
  <si>
    <t>Soporte hemodinámico en shock séptico.</t>
  </si>
  <si>
    <t>D-1011</t>
  </si>
  <si>
    <t>Neumología</t>
  </si>
  <si>
    <t>Salbutamol inhalador</t>
  </si>
  <si>
    <t>Salbutamol</t>
  </si>
  <si>
    <t>inhaladores</t>
  </si>
  <si>
    <t>SB27</t>
  </si>
  <si>
    <t>Crisis asmática, técnica de inhalación explicada.</t>
  </si>
  <si>
    <t>D-1012</t>
  </si>
  <si>
    <t>Digoxina 0,25mg</t>
  </si>
  <si>
    <t>Digoxina</t>
  </si>
  <si>
    <t>DG10</t>
  </si>
  <si>
    <t>Estrecho margen terapéutico, monitorizar niveles.</t>
  </si>
  <si>
    <t>D-1013</t>
  </si>
  <si>
    <t>Pediatria</t>
  </si>
  <si>
    <t>Ibuprofeno 100mg/5ml</t>
  </si>
  <si>
    <t>Ibuprofeno</t>
  </si>
  <si>
    <t>frascos</t>
  </si>
  <si>
    <t>IB45</t>
  </si>
  <si>
    <t>Fiebre en paciente pediátrico.</t>
  </si>
  <si>
    <t>D-1014</t>
  </si>
  <si>
    <t>Filgrastim 30MU</t>
  </si>
  <si>
    <t>Filgrastim</t>
  </si>
  <si>
    <t>FG02</t>
  </si>
  <si>
    <t>Soporte tras neutropenia, cadena de frío OK.</t>
  </si>
  <si>
    <t>D-1015</t>
  </si>
  <si>
    <t>URGENCIAS</t>
  </si>
  <si>
    <t>Adrenalina 1mg/ml</t>
  </si>
  <si>
    <t>Adrenalina</t>
  </si>
  <si>
    <t>AD19</t>
  </si>
  <si>
    <t>Registro de reacción anafiláctica, revisar cantidad negativa.</t>
  </si>
  <si>
    <t>D-1016</t>
  </si>
  <si>
    <t>Insulina glargina</t>
  </si>
  <si>
    <t>Insulina</t>
  </si>
  <si>
    <t>plumas</t>
  </si>
  <si>
    <t>IG77</t>
  </si>
  <si>
    <t>Precio erróneo, verificar con proveedor.</t>
  </si>
  <si>
    <t>D-1017</t>
  </si>
  <si>
    <t>Dolor postoperatorio leve.</t>
  </si>
  <si>
    <t>D-1018</t>
  </si>
  <si>
    <t>18/02/2025</t>
  </si>
  <si>
    <t>Warfarina 5mg</t>
  </si>
  <si>
    <t>Warfarina</t>
  </si>
  <si>
    <t>WF63</t>
  </si>
  <si>
    <t>Anticoagulación oral, control de INR pendiente.</t>
  </si>
  <si>
    <t>D-1019</t>
  </si>
  <si>
    <t>Budesonida inhalador</t>
  </si>
  <si>
    <t>Budesonida</t>
  </si>
  <si>
    <t>BD90</t>
  </si>
  <si>
    <t>EPOC estable.</t>
  </si>
  <si>
    <t>D-1020</t>
  </si>
  <si>
    <t>Propofol 200mg</t>
  </si>
  <si>
    <t>Propofol</t>
  </si>
  <si>
    <t>viales</t>
  </si>
  <si>
    <t>PF44</t>
  </si>
  <si>
    <t>Sedación en ventilación mecánica.</t>
  </si>
  <si>
    <t>D-1021</t>
  </si>
  <si>
    <t>Reacción adversa leve: cefalea transitoria.</t>
  </si>
  <si>
    <t>D-1022</t>
  </si>
  <si>
    <t>Ceftriaxona 1g</t>
  </si>
  <si>
    <t>Ceftriaxona</t>
  </si>
  <si>
    <t>CX58</t>
  </si>
  <si>
    <t>Sospecha de infección urinaria complicada.</t>
  </si>
  <si>
    <t>D-1023</t>
  </si>
  <si>
    <t>Coste total no cuadra, revisar.</t>
  </si>
  <si>
    <t>D-1024</t>
  </si>
  <si>
    <t>Metformina 850mg</t>
  </si>
  <si>
    <t>Metformina</t>
  </si>
  <si>
    <t>MF12</t>
  </si>
  <si>
    <t>Diabetes tipo 2, buena adherencia.</t>
  </si>
  <si>
    <t>D-1025</t>
  </si>
  <si>
    <t>Bisoprolol 5mg</t>
  </si>
  <si>
    <t>Bisoprolol</t>
  </si>
  <si>
    <t>BS33</t>
  </si>
  <si>
    <t>ANA RUIZ</t>
  </si>
  <si>
    <t>Control de frecuencia en fibrilación auricular.</t>
  </si>
  <si>
    <t>D-1026</t>
  </si>
  <si>
    <t>Caducidad anterior a dispensación, retirar lote.</t>
  </si>
  <si>
    <t>D-1027</t>
  </si>
  <si>
    <t>Falta proveedor en el registro.</t>
  </si>
  <si>
    <t>D-1028</t>
  </si>
  <si>
    <t>Midazolam 5mg/ml</t>
  </si>
  <si>
    <t>Midazolam</t>
  </si>
  <si>
    <t>MZ21</t>
  </si>
  <si>
    <t>Sedación consciente para procedimiento.</t>
  </si>
  <si>
    <t>D-1029</t>
  </si>
  <si>
    <t>Dexametasona 4mg</t>
  </si>
  <si>
    <t>Dexametasona</t>
  </si>
  <si>
    <t>DX07</t>
  </si>
  <si>
    <t>Coadyuvante antiemético.</t>
  </si>
  <si>
    <t>D-1030</t>
  </si>
  <si>
    <t>Diazepam 10mg</t>
  </si>
  <si>
    <t>Diazepam</t>
  </si>
  <si>
    <t>DZ88</t>
  </si>
  <si>
    <t>Crisis de ansiedad en urgencias.</t>
  </si>
  <si>
    <t>D-1031</t>
  </si>
  <si>
    <t>Atorvastatina 40mg</t>
  </si>
  <si>
    <t>Atorvastatina</t>
  </si>
  <si>
    <t>AT16</t>
  </si>
  <si>
    <t>Prevención cardiovascular secundaria.</t>
  </si>
  <si>
    <t>D-1032</t>
  </si>
  <si>
    <t>Paracetamol 100mg/ml</t>
  </si>
  <si>
    <t>PC09</t>
  </si>
  <si>
    <t>Dosificación por peso explicada a familia.</t>
  </si>
  <si>
    <t>D-1033</t>
  </si>
  <si>
    <t>Cantidad y coste sin registrar.</t>
  </si>
  <si>
    <t>D-1034</t>
  </si>
  <si>
    <t>Tramadol 50mg</t>
  </si>
  <si>
    <t>Tramadol</t>
  </si>
  <si>
    <t>TR40</t>
  </si>
  <si>
    <t>Dolor moderado, vigilar somnolencia.</t>
  </si>
  <si>
    <t>D-1035</t>
  </si>
  <si>
    <t>Heparina sódica 5000UI</t>
  </si>
  <si>
    <t>Heparina</t>
  </si>
  <si>
    <t>HP52</t>
  </si>
  <si>
    <t>Anticoagulación en terapia continua.</t>
  </si>
  <si>
    <t>D-1036</t>
  </si>
  <si>
    <t>Segunda dosis del ciclo.</t>
  </si>
  <si>
    <t>D-1037</t>
  </si>
  <si>
    <t>Tiotropio inhalador</t>
  </si>
  <si>
    <t>Tiotropio</t>
  </si>
  <si>
    <t>TT61</t>
  </si>
  <si>
    <t>Mantenimiento de EPOC.</t>
  </si>
  <si>
    <t>D-1038</t>
  </si>
  <si>
    <t>CARDIOLOGÍA</t>
  </si>
  <si>
    <t>Renovación de tratamiento.</t>
  </si>
  <si>
    <t>D-1039</t>
  </si>
  <si>
    <t>Cólico renal, buena respuesta analgésica.</t>
  </si>
  <si>
    <t>D-1040</t>
  </si>
  <si>
    <t>Otitis media aguda.</t>
  </si>
  <si>
    <t>D-1041</t>
  </si>
  <si>
    <t>Ajuste tras control de HbA1c.</t>
  </si>
  <si>
    <t>D-1042</t>
  </si>
  <si>
    <t>Cantidad muy alta frente a lo habitual, confirmar pedido.</t>
  </si>
  <si>
    <t>D-1043</t>
  </si>
  <si>
    <t>Sedación prolongada.</t>
  </si>
  <si>
    <t>D-1044</t>
  </si>
  <si>
    <t>Alta con pauta descendente.</t>
  </si>
  <si>
    <t>D-1045</t>
  </si>
  <si>
    <t>Sin incidencias.</t>
  </si>
  <si>
    <t>06/02/2025</t>
  </si>
  <si>
    <t>01/03/2025</t>
  </si>
  <si>
    <t>Guía del tutorial — Complemento de Claude para Excel</t>
  </si>
  <si>
    <t>Caso práctico: datos de dispensación de Farmacia hospitalaria (ver Hoja1)</t>
  </si>
  <si>
    <t>Paso</t>
  </si>
  <si>
    <t>Función de Claude</t>
  </si>
  <si>
    <t>Qué hace / qué se practica</t>
  </si>
  <si>
    <t>Prompt sugerido</t>
  </si>
  <si>
    <t>Dónde mirar en Hoja1</t>
  </si>
  <si>
    <t>Clean Messy Data</t>
  </si>
  <si>
    <t>Detecta y corrige datos inconsistentes: unifica categorías, elimina espacios, convierte números y fechas guardados como texto y quita duplicados.</t>
  </si>
  <si>
    <t>«Limpia los datos de la Hoja1: unifica los nombres del Servicio, elimina espacios sobrantes, convierte a número/fecha los valores guardados como texto y elimina las filas duplicadas.»</t>
  </si>
  <si>
    <t>Servicio (col C: 'CARDIOLOGIA', 'cardiologia', ' Urgencias '); números como texto F8, F22, H6, H26; fechas como texto B7, B12, B19, B31; fila duplicada D-1008 (filas 8-9).</t>
  </si>
  <si>
    <t>Generar fórmulas</t>
  </si>
  <si>
    <t>Pide a Claude columnas calculadas con fórmulas auditables en lugar de valores fijos.</t>
  </si>
  <si>
    <t>«Añade una columna 'Coste calculado' = Cantidad × Precio unitario y otra 'Días hasta caducidad' = Fecha caducidad − Fecha dispensación.»</t>
  </si>
  <si>
    <t>Cantidad (F), Precio (H), Fecha dispensación (B), Fecha caducidad (L).</t>
  </si>
  <si>
    <t>Summarize Text Data</t>
  </si>
  <si>
    <t>Resume y agrupa por temas un campo de texto libre, contando casos por categoría.</t>
  </si>
  <si>
    <t>«Resume las Observaciones (col N): agrupa los temas principales (reacciones adversas, alergias, stock, estupefacientes) e indica cuántos casos hay de cada uno.»</t>
  </si>
  <si>
    <t>Observaciones (col N, N2:N47).</t>
  </si>
  <si>
    <t>Tablas dinámicas</t>
  </si>
  <si>
    <t>Agrega los datos limpios para analizar coste y consumo por distintas dimensiones.</t>
  </si>
  <si>
    <t>«Crea una tabla dinámica con el coste total por Servicio y por Medicamento.»</t>
  </si>
  <si>
    <t>Servicio (C), Medicamento (D), Coste total (I).</t>
  </si>
  <si>
    <t>Find outliers and errors</t>
  </si>
  <si>
    <t>Localiza valores atípicos y errores lógicos: negativos, precios anómalos, totales que no cuadran, fechas imposibles y celdas vacías.</t>
  </si>
  <si>
    <t>«Revisa los datos y detecta errores y valores atípicos: cantidades negativas, precios anómalos, costes que no cuadran con Cantidad × Precio, caducidades anteriores a la dispensación y celdas vacías.»</t>
  </si>
  <si>
    <t>Cantidad negativa F16 (-5); precio extremo H17 (9999); coste que no cuadra I24; caducidad en 2024 L27; cantidad atípica F43 (250); vacíos J28 y F34/I34.</t>
  </si>
  <si>
    <t>Ejemplo resuelto — datos limpios + fórmulas + control de calidad</t>
  </si>
  <si>
    <t>Versión depurada de Hoja1: Servicio y Farmacéutico unificados, números/fechas convertidos, duplicado D-1008 eliminado. Columnas O-Q calculadas con fórmulas.</t>
  </si>
  <si>
    <t>Coste calculado (€)</t>
  </si>
  <si>
    <t>Días hasta caducidad</t>
  </si>
  <si>
    <t>¿Revisar?</t>
  </si>
  <si>
    <t>Urgencias</t>
  </si>
  <si>
    <t>Etiquetas de fila</t>
  </si>
  <si>
    <t>Total general</t>
  </si>
  <si>
    <t>Nº dispensaciones</t>
  </si>
  <si>
    <t>Tabla dinámica: coste y nº de dispensaciones por Servicio</t>
  </si>
  <si>
    <t>ID dispensación</t>
  </si>
  <si>
    <t>Fila (Hoja1)</t>
  </si>
  <si>
    <t>Columna</t>
  </si>
  <si>
    <t>Campo</t>
  </si>
  <si>
    <t>Valor anterior</t>
  </si>
  <si>
    <t>Valor nuevo</t>
  </si>
  <si>
    <t>Tipo de cambio</t>
  </si>
  <si>
    <t>Fila 10 (original)</t>
  </si>
  <si>
    <t>Toda la fila</t>
  </si>
  <si>
    <t>(registro completo)</t>
  </si>
  <si>
    <t>Fila duplicada, idéntica a la fila 9 (D-1008)</t>
  </si>
  <si>
    <t>Fila eliminada</t>
  </si>
  <si>
    <t>Eliminación de duplicado</t>
  </si>
  <si>
    <t>C</t>
  </si>
  <si>
    <t>Normalización de texto</t>
  </si>
  <si>
    <t>M</t>
  </si>
  <si>
    <t>H</t>
  </si>
  <si>
    <t>0,95 (texto)</t>
  </si>
  <si>
    <t>Conversión texto→número</t>
  </si>
  <si>
    <t>B</t>
  </si>
  <si>
    <t>06/02/2025 (texto)</t>
  </si>
  <si>
    <t>Conversión texto→fecha</t>
  </si>
  <si>
    <t xml:space="preserve"> Urgencias  (espacios)</t>
  </si>
  <si>
    <t>F</t>
  </si>
  <si>
    <t>30 (texto)</t>
  </si>
  <si>
    <t>2025/02/11 (texto)</t>
  </si>
  <si>
    <t>18/02/2025 (texto)</t>
  </si>
  <si>
    <t>18/02/2025 (texto, con formato fecha)</t>
  </si>
  <si>
    <t>15 (texto)</t>
  </si>
  <si>
    <t>1,05 (texto)</t>
  </si>
  <si>
    <t>01/03/2025 (texto)</t>
  </si>
  <si>
    <t>urgencias  (espacio final)</t>
  </si>
  <si>
    <t>Casos NO modificados (requieren revisión manual, no se puede inferir el valor correcto):</t>
  </si>
  <si>
    <t>D-1015 (fila 16)</t>
  </si>
  <si>
    <t>Cantidad negativa (F16 = -5)</t>
  </si>
  <si>
    <t>Marcado ‘Revisar’ en Hoja1!P16</t>
  </si>
  <si>
    <t>D-1016 (fila 17)</t>
  </si>
  <si>
    <t>Precio unitario 9.999 € (H17)</t>
  </si>
  <si>
    <t>Marcado ‘Revisar’ en Hoja1!P17</t>
  </si>
  <si>
    <t>D-1020 (fila 21)</t>
  </si>
  <si>
    <t>Coste total (156€) no coincide con Cantidad×Precio (117€)</t>
  </si>
  <si>
    <t>Marcado ‘Revisar’ en Hoja1!P21</t>
  </si>
  <si>
    <t>D-1023 (fila 24)</t>
  </si>
  <si>
    <t>Coste total (180€) no coincide con Cantidad×Precio (36€)</t>
  </si>
  <si>
    <t>Marcado ‘Revisar’ en Hoja1!P24</t>
  </si>
  <si>
    <t>D-1024 (fila 25)</t>
  </si>
  <si>
    <t>Coste total (63€) no coincide con Cantidad×Precio (94,50€)</t>
  </si>
  <si>
    <t>Marcado ‘Revisar’ en Hoja1!P25</t>
  </si>
  <si>
    <t>D-1026 (fila 27)</t>
  </si>
  <si>
    <t>Fecha de caducidad anterior a la de dispensación</t>
  </si>
  <si>
    <t>Marcado ‘Revisar’ en Hoja1!P27</t>
  </si>
  <si>
    <t>D-1027 (fila 28)</t>
  </si>
  <si>
    <t>Proveedor sin registrar (J28 vacío)</t>
  </si>
  <si>
    <t>Marcado ‘Revisar’ en Hoja1!P28</t>
  </si>
  <si>
    <t>D-1033 (fila 34)</t>
  </si>
  <si>
    <t>Cantidad y coste sin registrar (F34, I34 vacíos)</t>
  </si>
  <si>
    <t>Marcado ‘Revisar’ en Hoja1!P34</t>
  </si>
  <si>
    <t>D-1042 (fila 43)</t>
  </si>
  <si>
    <t>Cantidad muy alta (250) frente al patrón habitual</t>
  </si>
  <si>
    <t>Marcado ‘Revisar’ en Hoja1!P43</t>
  </si>
  <si>
    <t>D-1002 (fila 3)</t>
  </si>
  <si>
    <t>Fecha de dispensación (02/03/2025) fuera de la secuencia cronológica del resto de filas</t>
  </si>
  <si>
    <t>No se modifica; no lo detecta la fórmula ¿Revisar? (revisar manualmente)</t>
  </si>
  <si>
    <t>D-1030 (fila 31, tras eliminar duplicado)</t>
  </si>
  <si>
    <t>Fecha de dispensación (03/01/2025) muy anterior a las filas vecinas</t>
  </si>
  <si>
    <t>11/02/2025</t>
  </si>
  <si>
    <t>Categoría (observación)</t>
  </si>
  <si>
    <t>Seguimiento clínico</t>
  </si>
  <si>
    <t>Estupefacientes</t>
  </si>
  <si>
    <t>Alergia</t>
  </si>
  <si>
    <t>Reacción adversa</t>
  </si>
  <si>
    <t>Stock/Incidencia</t>
  </si>
  <si>
    <t>Resumen de Observaciones (temas principales)</t>
  </si>
  <si>
    <t>Tema</t>
  </si>
  <si>
    <t>Casos</t>
  </si>
  <si>
    <t>Reacciones adversas</t>
  </si>
  <si>
    <t>Alergias</t>
  </si>
  <si>
    <t>Incidencias de stock/registro</t>
  </si>
  <si>
    <t>Seguimiento clínico rutinario</t>
  </si>
  <si>
    <t>Total</t>
  </si>
  <si>
    <t>Javier</t>
  </si>
  <si>
    <t xml:space="preserve">Olga </t>
  </si>
  <si>
    <t>(en blanco)</t>
  </si>
  <si>
    <t>Suma de Coste total (€)</t>
  </si>
  <si>
    <t>Coste total por Servicio y Medicamento</t>
  </si>
  <si>
    <t>Coste total por Servicio</t>
  </si>
  <si>
    <t>Coste total por Medicamento</t>
  </si>
  <si>
    <t>Suma de Coste calculado (€)</t>
  </si>
  <si>
    <t>📊 KPIs — Farmacia Hospitalaria</t>
  </si>
  <si>
    <t>Todos los indicadores se calculan mediante fórmulas dinámicas sobre los datos de Hoja1 (A2:R46).</t>
  </si>
  <si>
    <t>1. Resumen General</t>
  </si>
  <si>
    <t>Indicador</t>
  </si>
  <si>
    <t>Valor</t>
  </si>
  <si>
    <t>Nº total de dispensaciones</t>
  </si>
  <si>
    <t>Coste total dispensado (€)</t>
  </si>
  <si>
    <t>Coste medio por dispensación (€)</t>
  </si>
  <si>
    <t>Cantidad total de unidades dispensadas</t>
  </si>
  <si>
    <t>Precio unitario medio (€)</t>
  </si>
  <si>
    <t>Nº de servicios distintos</t>
  </si>
  <si>
    <t>Nº de medicamentos distintos</t>
  </si>
  <si>
    <t>Nº de principios activos distintos</t>
  </si>
  <si>
    <t>Nº de proveedores distintos</t>
  </si>
  <si>
    <t>Nº de farmacéuticos distintos</t>
  </si>
  <si>
    <t>Nº de líneas marcadas "Revisar"</t>
  </si>
  <si>
    <t>% de líneas para revisar</t>
  </si>
  <si>
    <t>Nº de lotes dispensados ya caducados</t>
  </si>
  <si>
    <t>Vida útil media al dispensar (días)</t>
  </si>
  <si>
    <t>Dispensación de menor coste (€)</t>
  </si>
  <si>
    <t>Dispensación de mayor coste (€)</t>
  </si>
  <si>
    <t>2. KPIs por Servicio</t>
  </si>
  <si>
    <t>Nº Dispensaciones</t>
  </si>
  <si>
    <t>Cantidad Total</t>
  </si>
  <si>
    <t>Coste Total (€)</t>
  </si>
  <si>
    <t>Coste Medio (€)</t>
  </si>
  <si>
    <t>% del Coste Total</t>
  </si>
  <si>
    <t>3. KPIs por Farmacéutico</t>
  </si>
  <si>
    <t>4. KPIs por Proveedor</t>
  </si>
  <si>
    <t>5. KPIs por Medicamento (detalle completo)</t>
  </si>
  <si>
    <t>Principio Activo</t>
  </si>
  <si>
    <t>6. Distribución de Categorías de Observación</t>
  </si>
  <si>
    <t>Categoría</t>
  </si>
  <si>
    <t>Nº Casos</t>
  </si>
  <si>
    <t>% del Total</t>
  </si>
  <si>
    <t>7. Evolución Mensual del Coste</t>
  </si>
  <si>
    <t>Mes</t>
  </si>
  <si>
    <t>8. Alertas de Calidad y Trazabilidad</t>
  </si>
  <si>
    <t>Nº de dispensaciones con cantidad negativa</t>
  </si>
  <si>
    <t>Nº de dispensaciones sin proveedor registrado</t>
  </si>
  <si>
    <t>Nº de dispensaciones sin cantidad/coste registrado</t>
  </si>
  <si>
    <t>Fecha de dispensación más antigua</t>
  </si>
  <si>
    <t>Fecha de dispensación más reciente</t>
  </si>
  <si>
    <t>Periodo cubierto (días)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</si>
</sst>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\€"/>
    <numFmt numFmtId="167" formatCode="0.0%"/>
    <numFmt numFmtId="168" formatCode="mmm\-yyyy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6"/>
      <color rgb="FF1F4E78"/>
      <name val="Aptos Narrow"/>
      <family val="2"/>
      <scheme val="minor"/>
    </font>
    <font>
      <i/>
      <sz val="11"/>
      <color rgb="FF595959"/>
      <name val="Aptos Narrow"/>
      <family val="2"/>
      <scheme val="minor"/>
    </font>
    <font>
      <b/>
      <sz val="15"/>
      <color rgb="FF1F4E78"/>
      <name val="Aptos Narrow"/>
      <family val="2"/>
      <scheme val="minor"/>
    </font>
    <font>
      <b/>
      <sz val="11"/>
      <color rgb="FF1F4E78"/>
      <name val="Aptos Narrow"/>
      <family val="2"/>
      <scheme val="minor"/>
    </font>
    <font>
      <b/>
      <sz val="11"/>
      <color rgb="FFFFFFFF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i/>
      <sz val="10"/>
      <color theme="1"/>
      <name val="Aptos Narrow"/>
      <scheme val="minor"/>
    </font>
    <font>
      <sz val="11"/>
      <color rgb="FF000000"/>
      <name val="Aptos Narrow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9"/>
      <color rgb="FF666666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2F6FB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vertical="top"/>
    </xf>
    <xf numFmtId="1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6" fillId="0" borderId="0" xfId="0" applyFont="1"/>
    <xf numFmtId="0" fontId="7" fillId="4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164" fontId="0" fillId="0" borderId="0" xfId="0" applyNumberFormat="1"/>
    <xf numFmtId="164" fontId="8" fillId="0" borderId="0" xfId="0" applyNumberFormat="1" applyFont="1"/>
    <xf numFmtId="0" fontId="8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49" fontId="8" fillId="0" borderId="0" xfId="0" applyNumberFormat="1" applyFont="1"/>
    <xf numFmtId="14" fontId="2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1" fontId="11" fillId="0" borderId="0" xfId="0" applyNumberFormat="1" applyFont="1"/>
    <xf numFmtId="0" fontId="14" fillId="0" borderId="0" xfId="0" applyFont="1" applyAlignment="1">
      <alignment vertical="top"/>
    </xf>
    <xf numFmtId="0" fontId="0" fillId="0" borderId="0" xfId="0" applyAlignment="1">
      <alignment horizontal="left" indent="1"/>
    </xf>
    <xf numFmtId="0" fontId="0" fillId="0" borderId="0" xfId="0" applyNumberFormat="1"/>
    <xf numFmtId="0" fontId="15" fillId="0" borderId="0" xfId="0" applyFont="1"/>
    <xf numFmtId="0" fontId="16" fillId="0" borderId="0" xfId="0" applyFont="1"/>
    <xf numFmtId="0" fontId="17" fillId="2" borderId="0" xfId="0" applyFont="1" applyFill="1"/>
    <xf numFmtId="0" fontId="0" fillId="2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3" fontId="0" fillId="0" borderId="0" xfId="0" applyNumberFormat="1"/>
    <xf numFmtId="167" fontId="0" fillId="0" borderId="0" xfId="0" applyNumberFormat="1"/>
    <xf numFmtId="3" fontId="1" fillId="0" borderId="0" xfId="0" applyNumberFormat="1" applyFont="1"/>
    <xf numFmtId="164" fontId="1" fillId="0" borderId="0" xfId="0" applyNumberFormat="1" applyFont="1"/>
    <xf numFmtId="167" fontId="1" fillId="0" borderId="0" xfId="0" applyNumberFormat="1" applyFont="1"/>
    <xf numFmtId="168" fontId="0" fillId="0" borderId="0" xfId="0" applyNumberFormat="1"/>
  </cellXfs>
  <cellStyles count="1">
    <cellStyle name="Normal" xfId="0" builtinId="0"/>
  </cellStyles>
  <dxfs count="4">
    <dxf>
      <font>
        <color rgb="FFC00000"/>
      </font>
      <fill>
        <patternFill patternType="solid">
          <fgColor indexed="64"/>
          <bgColor rgb="FFFCE4E4"/>
        </patternFill>
      </fill>
    </dxf>
    <dxf>
      <font>
        <color rgb="FF000000"/>
      </font>
      <fill>
        <patternFill patternType="solid">
          <fgColor indexed="64"/>
          <bgColor rgb="FFFFFF00"/>
        </patternFill>
      </fill>
    </dxf>
    <dxf>
      <font>
        <color rgb="FFFFFFFF"/>
      </font>
      <fill>
        <patternFill patternType="solid">
          <fgColor indexed="64"/>
          <bgColor rgb="FFFF0000"/>
        </patternFill>
      </fill>
    </dxf>
    <dxf>
      <font>
        <b/>
        <color rgb="FFFFFFFF"/>
      </font>
      <fill>
        <patternFill patternType="solid">
          <fgColor indexed="64"/>
          <bgColor rgb="FF1F4E7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[Claude-Farmacia.xlsx]TablaDinámica!PivotPorServicio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Coste total por Servicio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TablaDinámica!$E$3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TablaDinámica!$D$4:$D$13</c:f>
              <c:strCache>
                <c:ptCount val="9"/>
                <c:pt idx="0">
                  <c:v>Cardiología</c:v>
                </c:pt>
                <c:pt idx="1">
                  <c:v>Medicina Interna</c:v>
                </c:pt>
                <c:pt idx="2">
                  <c:v>Neumología</c:v>
                </c:pt>
                <c:pt idx="3">
                  <c:v>Oncología</c:v>
                </c:pt>
                <c:pt idx="4">
                  <c:v>Pediatría</c:v>
                </c:pt>
                <c:pt idx="5">
                  <c:v>Traumatología</c:v>
                </c:pt>
                <c:pt idx="6">
                  <c:v>UCI</c:v>
                </c:pt>
                <c:pt idx="7">
                  <c:v>Urgencias</c:v>
                </c:pt>
                <c:pt idx="8">
                  <c:v>(en blanco)</c:v>
                </c:pt>
              </c:strCache>
            </c:strRef>
          </c:cat>
          <c:val>
            <c:numRef>
              <c:f>TablaDinámica!$E$4:$E$13</c:f>
              <c:numCache>
                <c:formatCode>General</c:formatCode>
                <c:ptCount val="9"/>
                <c:pt idx="0">
                  <c:v>410</c:v>
                </c:pt>
                <c:pt idx="1">
                  <c:v>594</c:v>
                </c:pt>
                <c:pt idx="2">
                  <c:v>237.6</c:v>
                </c:pt>
                <c:pt idx="3">
                  <c:v>2241.5</c:v>
                </c:pt>
                <c:pt idx="4">
                  <c:v>303.60000000000002</c:v>
                </c:pt>
                <c:pt idx="5">
                  <c:v>478.5</c:v>
                </c:pt>
                <c:pt idx="6">
                  <c:v>504.40000000000003</c:v>
                </c:pt>
                <c:pt idx="7">
                  <c:v>257.95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0-4946-936C-1FB5B3B3E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0854192"/>
        <c:axId val="540818032"/>
      </c:barChart>
      <c:catAx>
        <c:axId val="54085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0818032"/>
        <c:crosses val="autoZero"/>
        <c:auto val="1"/>
        <c:lblAlgn val="ctr"/>
        <c:lblOffset val="100"/>
        <c:noMultiLvlLbl val="0"/>
      </c:catAx>
      <c:valAx>
        <c:axId val="54081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085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[Claude-Farmacia.xlsx]TablaDinámica!PivotPorMedicamento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Coste total por Medicamento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TablaDinámica!$H$3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TablaDinámica!$G$4:$G$35</c:f>
              <c:strCache>
                <c:ptCount val="31"/>
                <c:pt idx="0">
                  <c:v>Adrenalina 1mg/ml</c:v>
                </c:pt>
                <c:pt idx="1">
                  <c:v>Amoxicilina 250mg</c:v>
                </c:pt>
                <c:pt idx="2">
                  <c:v>Atorvastatina 40mg</c:v>
                </c:pt>
                <c:pt idx="3">
                  <c:v>Bisoprolol 5mg</c:v>
                </c:pt>
                <c:pt idx="4">
                  <c:v>Budesonida inhalador</c:v>
                </c:pt>
                <c:pt idx="5">
                  <c:v>Ceftriaxona 1g</c:v>
                </c:pt>
                <c:pt idx="6">
                  <c:v>Dexametasona 4mg</c:v>
                </c:pt>
                <c:pt idx="7">
                  <c:v>Diazepam 10mg</c:v>
                </c:pt>
                <c:pt idx="8">
                  <c:v>Digoxina 0,25mg</c:v>
                </c:pt>
                <c:pt idx="9">
                  <c:v>Enalapril 10mg</c:v>
                </c:pt>
                <c:pt idx="10">
                  <c:v>Enoxaparina 40mg</c:v>
                </c:pt>
                <c:pt idx="11">
                  <c:v>Filgrastim 30MU</c:v>
                </c:pt>
                <c:pt idx="12">
                  <c:v>Furosemida 40mg</c:v>
                </c:pt>
                <c:pt idx="13">
                  <c:v>Heparina sódica 5000UI</c:v>
                </c:pt>
                <c:pt idx="14">
                  <c:v>Ibuprofeno 100mg/5ml</c:v>
                </c:pt>
                <c:pt idx="15">
                  <c:v>Insulina glargina</c:v>
                </c:pt>
                <c:pt idx="16">
                  <c:v>Metamizol 575mg</c:v>
                </c:pt>
                <c:pt idx="17">
                  <c:v>Metformina 850mg</c:v>
                </c:pt>
                <c:pt idx="18">
                  <c:v>Midazolam 5mg/ml</c:v>
                </c:pt>
                <c:pt idx="19">
                  <c:v>Morfina 10mg/ml</c:v>
                </c:pt>
                <c:pt idx="20">
                  <c:v>Noradrenalina 1mg/ml</c:v>
                </c:pt>
                <c:pt idx="21">
                  <c:v>Omeprazol 20mg</c:v>
                </c:pt>
                <c:pt idx="22">
                  <c:v>Ondansetrón 8mg</c:v>
                </c:pt>
                <c:pt idx="23">
                  <c:v>Paracetamol 100mg/ml</c:v>
                </c:pt>
                <c:pt idx="24">
                  <c:v>Paracetamol 1g</c:v>
                </c:pt>
                <c:pt idx="25">
                  <c:v>Propofol 200mg</c:v>
                </c:pt>
                <c:pt idx="26">
                  <c:v>Salbutamol inhalador</c:v>
                </c:pt>
                <c:pt idx="27">
                  <c:v>Tiotropio inhalador</c:v>
                </c:pt>
                <c:pt idx="28">
                  <c:v>Tramadol 50mg</c:v>
                </c:pt>
                <c:pt idx="29">
                  <c:v>Warfarina 5mg</c:v>
                </c:pt>
                <c:pt idx="30">
                  <c:v>(en blanco)</c:v>
                </c:pt>
              </c:strCache>
            </c:strRef>
          </c:cat>
          <c:val>
            <c:numRef>
              <c:f>TablaDinámica!$H$4:$H$35</c:f>
              <c:numCache>
                <c:formatCode>General</c:formatCode>
                <c:ptCount val="31"/>
                <c:pt idx="0">
                  <c:v>-9.75</c:v>
                </c:pt>
                <c:pt idx="1">
                  <c:v>108</c:v>
                </c:pt>
                <c:pt idx="2">
                  <c:v>75</c:v>
                </c:pt>
                <c:pt idx="3">
                  <c:v>31.5</c:v>
                </c:pt>
                <c:pt idx="4">
                  <c:v>67.2</c:v>
                </c:pt>
                <c:pt idx="5">
                  <c:v>68.2</c:v>
                </c:pt>
                <c:pt idx="6">
                  <c:v>159.5</c:v>
                </c:pt>
                <c:pt idx="7">
                  <c:v>22.5</c:v>
                </c:pt>
                <c:pt idx="8">
                  <c:v>33</c:v>
                </c:pt>
                <c:pt idx="9">
                  <c:v>192</c:v>
                </c:pt>
                <c:pt idx="10">
                  <c:v>315</c:v>
                </c:pt>
                <c:pt idx="11">
                  <c:v>1920</c:v>
                </c:pt>
                <c:pt idx="12">
                  <c:v>38</c:v>
                </c:pt>
                <c:pt idx="13">
                  <c:v>59</c:v>
                </c:pt>
                <c:pt idx="14">
                  <c:v>24</c:v>
                </c:pt>
                <c:pt idx="15">
                  <c:v>420</c:v>
                </c:pt>
                <c:pt idx="16">
                  <c:v>72</c:v>
                </c:pt>
                <c:pt idx="17">
                  <c:v>157.5</c:v>
                </c:pt>
                <c:pt idx="18">
                  <c:v>41.6</c:v>
                </c:pt>
                <c:pt idx="19">
                  <c:v>45</c:v>
                </c:pt>
                <c:pt idx="20">
                  <c:v>46.8</c:v>
                </c:pt>
                <c:pt idx="21">
                  <c:v>48</c:v>
                </c:pt>
                <c:pt idx="22">
                  <c:v>162</c:v>
                </c:pt>
                <c:pt idx="23">
                  <c:v>27.599999999999998</c:v>
                </c:pt>
                <c:pt idx="24">
                  <c:v>199.5</c:v>
                </c:pt>
                <c:pt idx="25">
                  <c:v>273</c:v>
                </c:pt>
                <c:pt idx="26">
                  <c:v>99</c:v>
                </c:pt>
                <c:pt idx="27">
                  <c:v>71.399999999999991</c:v>
                </c:pt>
                <c:pt idx="28">
                  <c:v>69</c:v>
                </c:pt>
                <c:pt idx="29">
                  <c:v>40.5</c:v>
                </c:pt>
                <c:pt idx="3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94-4B7D-AFE4-4EC5B159E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42053928"/>
        <c:axId val="542052488"/>
      </c:barChart>
      <c:catAx>
        <c:axId val="542053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2052488"/>
        <c:crosses val="autoZero"/>
        <c:auto val="1"/>
        <c:lblAlgn val="ctr"/>
        <c:lblOffset val="100"/>
        <c:noMultiLvlLbl val="0"/>
      </c:catAx>
      <c:valAx>
        <c:axId val="542052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2053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Coste Total por Servicio (€)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KPIs!$D$24</c:f>
              <c:strCache>
                <c:ptCount val="1"/>
                <c:pt idx="0">
                  <c:v>Coste Total (€)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KPIs!$A$25:$A$32</c:f>
              <c:strCache>
                <c:ptCount val="8"/>
                <c:pt idx="0">
                  <c:v>Cardiología</c:v>
                </c:pt>
                <c:pt idx="1">
                  <c:v>Urgencias</c:v>
                </c:pt>
                <c:pt idx="2">
                  <c:v>UCI</c:v>
                </c:pt>
                <c:pt idx="3">
                  <c:v>Pediatría</c:v>
                </c:pt>
                <c:pt idx="4">
                  <c:v>Oncología</c:v>
                </c:pt>
                <c:pt idx="5">
                  <c:v>Medicina Interna</c:v>
                </c:pt>
                <c:pt idx="6">
                  <c:v>Traumatología</c:v>
                </c:pt>
                <c:pt idx="7">
                  <c:v>Neumología</c:v>
                </c:pt>
              </c:strCache>
            </c:strRef>
          </c:cat>
          <c:val>
            <c:numRef>
              <c:f>KPIs!$D$25:$D$32</c:f>
              <c:numCache>
                <c:formatCode>#,##0.00\ \€</c:formatCode>
                <c:ptCount val="8"/>
                <c:pt idx="0">
                  <c:v>410</c:v>
                </c:pt>
                <c:pt idx="1">
                  <c:v>257.95</c:v>
                </c:pt>
                <c:pt idx="2">
                  <c:v>504.40000000000003</c:v>
                </c:pt>
                <c:pt idx="3">
                  <c:v>303.60000000000002</c:v>
                </c:pt>
                <c:pt idx="4">
                  <c:v>2241.5</c:v>
                </c:pt>
                <c:pt idx="5">
                  <c:v>594</c:v>
                </c:pt>
                <c:pt idx="6">
                  <c:v>478.5</c:v>
                </c:pt>
                <c:pt idx="7">
                  <c:v>237.6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0B-42C0-9F36-7A5E7BF6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6769328"/>
        <c:axId val="636770048"/>
      </c:barChart>
      <c:catAx>
        <c:axId val="63676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70048"/>
        <c:crosses val="autoZero"/>
        <c:auto val="1"/>
        <c:lblAlgn val="ctr"/>
        <c:lblOffset val="100"/>
        <c:noMultiLvlLbl val="0"/>
      </c:catAx>
      <c:valAx>
        <c:axId val="63677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\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69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Mensual del Coste (€)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KPIs!$C$101</c:f>
              <c:strCache>
                <c:ptCount val="1"/>
                <c:pt idx="0">
                  <c:v>Coste Total (€)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KPIs!$A$102:$A$104</c:f>
              <c:numCache>
                <c:formatCode>mmm\-yyyy</c:formatCode>
                <c:ptCount val="3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</c:numCache>
            </c:numRef>
          </c:cat>
          <c:val>
            <c:numRef>
              <c:f>KPIs!$C$102:$C$104</c:f>
              <c:numCache>
                <c:formatCode>#,##0.00\ \€</c:formatCode>
                <c:ptCount val="3"/>
                <c:pt idx="0">
                  <c:v>22.5</c:v>
                </c:pt>
                <c:pt idx="1">
                  <c:v>3091.5499999999997</c:v>
                </c:pt>
                <c:pt idx="2">
                  <c:v>1913.5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5-42B0-9A26-904ADDB29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016"/>
        <c:axId val="6372736"/>
      </c:lineChart>
      <c:dateAx>
        <c:axId val="6372016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72736"/>
        <c:crosses val="autoZero"/>
        <c:auto val="1"/>
        <c:lblOffset val="100"/>
        <c:baseTimeUnit val="months"/>
      </c:dateAx>
      <c:valAx>
        <c:axId val="637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\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7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20</xdr:row>
      <xdr:rowOff>0</xdr:rowOff>
    </xdr:to>
    <xdr:graphicFrame macro="">
      <xdr:nvGraphicFramePr>
        <xdr:cNvPr id="3" name="ChartCosteServicio">
          <a:extLst>
            <a:ext uri="{FF2B5EF4-FFF2-40B4-BE49-F238E27FC236}">
              <a16:creationId xmlns:a16="http://schemas.microsoft.com/office/drawing/2014/main" id="{8EB0DA9E-A089-6DCC-5E97-291902E0EE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8</xdr:col>
      <xdr:colOff>0</xdr:colOff>
      <xdr:row>55</xdr:row>
      <xdr:rowOff>0</xdr:rowOff>
    </xdr:to>
    <xdr:graphicFrame macro="">
      <xdr:nvGraphicFramePr>
        <xdr:cNvPr id="4" name="ChartCosteMedicamento">
          <a:extLst>
            <a:ext uri="{FF2B5EF4-FFF2-40B4-BE49-F238E27FC236}">
              <a16:creationId xmlns:a16="http://schemas.microsoft.com/office/drawing/2014/main" id="{E4CBE814-B28A-B5F7-31DB-3B78F14845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ADF960-C4B3-BEE5-95FB-9C67EF3FD9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21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F94DF8-60B4-BA38-51D7-099067EBB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dor" refreshedDate="46209.664604513891" createdVersion="8" refreshedVersion="8" minRefreshableVersion="3" recordCount="45" xr:uid="{9C21BD04-2D62-4B61-AE24-7D2852D8CDBF}">
  <cacheSource type="worksheet">
    <worksheetSource ref="A4:Q49" sheet="Ejemplo resuelto"/>
  </cacheSource>
  <cacheFields count="17">
    <cacheField name="ID" numFmtId="0">
      <sharedItems/>
    </cacheField>
    <cacheField name="Fecha dispensación" numFmtId="14">
      <sharedItems containsSemiMixedTypes="0" containsNonDate="0" containsDate="1" containsString="0" minDate="2025-02-03T00:00:00" maxDate="2025-03-17T00:00:00"/>
    </cacheField>
    <cacheField name="Servicio" numFmtId="0">
      <sharedItems count="8">
        <s v="Cardiología"/>
        <s v="Urgencias"/>
        <s v="UCI"/>
        <s v="Pediatría"/>
        <s v="Oncología"/>
        <s v="Medicina Interna"/>
        <s v="Traumatología"/>
        <s v="Neumología"/>
      </sharedItems>
    </cacheField>
    <cacheField name="Medicamento" numFmtId="0">
      <sharedItems/>
    </cacheField>
    <cacheField name="Principio activo" numFmtId="0">
      <sharedItems/>
    </cacheField>
    <cacheField name="Cantidad" numFmtId="1">
      <sharedItems containsString="0" containsBlank="1" containsNumber="1" containsInteger="1" minValue="-5" maxValue="250"/>
    </cacheField>
    <cacheField name="Unidad" numFmtId="0">
      <sharedItems/>
    </cacheField>
    <cacheField name="Precio unitario (€)" numFmtId="164">
      <sharedItems containsSemiMixedTypes="0" containsString="0" containsNumber="1" minValue="0.55000000000000004" maxValue="9999"/>
    </cacheField>
    <cacheField name="Coste total (€)" numFmtId="164">
      <sharedItems containsString="0" containsBlank="1" containsNumber="1" minValue="-9.75" maxValue="139986"/>
    </cacheField>
    <cacheField name="Proveedor" numFmtId="0">
      <sharedItems containsBlank="1"/>
    </cacheField>
    <cacheField name="Lote" numFmtId="0">
      <sharedItems/>
    </cacheField>
    <cacheField name="Fecha caducidad" numFmtId="14">
      <sharedItems containsSemiMixedTypes="0" containsNonDate="0" containsDate="1" containsString="0" minDate="2024-01-31T00:00:00" maxDate="2027-06-01T00:00:00"/>
    </cacheField>
    <cacheField name="Farmacéutico" numFmtId="0">
      <sharedItems/>
    </cacheField>
    <cacheField name="Observaciones" numFmtId="0">
      <sharedItems/>
    </cacheField>
    <cacheField name="Coste calculado (€)" numFmtId="164">
      <sharedItems containsMixedTypes="1" containsNumber="1" minValue="-9.75" maxValue="139986"/>
    </cacheField>
    <cacheField name="Días hasta caducidad" numFmtId="1">
      <sharedItems containsSemiMixedTypes="0" containsString="0" containsNumber="1" containsInteger="1" minValue="-392" maxValue="826"/>
    </cacheField>
    <cacheField name="¿Revisar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dor" refreshedDate="46217.436014467596" createdVersion="8" refreshedVersion="8" minRefreshableVersion="3" recordCount="54" xr:uid="{B3EC0C6B-AD79-4CE0-A400-7D881047E4B3}">
  <cacheSource type="worksheet">
    <worksheetSource ref="A1:R55" sheet="Hoja1"/>
  </cacheSource>
  <cacheFields count="18">
    <cacheField name="ID" numFmtId="0">
      <sharedItems containsBlank="1"/>
    </cacheField>
    <cacheField name="Fecha dispensación" numFmtId="14">
      <sharedItems containsNonDate="0" containsDate="1" containsString="0" containsBlank="1" minDate="2025-01-03T00:00:00" maxDate="2025-03-17T00:00:00"/>
    </cacheField>
    <cacheField name="Servicio" numFmtId="0">
      <sharedItems containsBlank="1" count="9">
        <s v="Cardiología"/>
        <s v="Urgencias"/>
        <s v="UCI"/>
        <s v="Pediatría"/>
        <s v="Oncología"/>
        <s v="Medicina Interna"/>
        <s v="Traumatología"/>
        <s v="Neumología"/>
        <m/>
      </sharedItems>
    </cacheField>
    <cacheField name="Medicamento" numFmtId="0">
      <sharedItems containsBlank="1" count="31">
        <s v="Enalapril 10mg"/>
        <s v="Paracetamol 1g"/>
        <s v="Morfina 10mg/ml"/>
        <s v="Amoxicilina 250mg"/>
        <s v="Furosemida 40mg"/>
        <s v="Ondansetrón 8mg"/>
        <s v="Metamizol 575mg"/>
        <s v="Omeprazol 20mg"/>
        <s v="Enoxaparina 40mg"/>
        <s v="Noradrenalina 1mg/ml"/>
        <s v="Salbutamol inhalador"/>
        <s v="Digoxina 0,25mg"/>
        <s v="Ibuprofeno 100mg/5ml"/>
        <s v="Filgrastim 30MU"/>
        <s v="Adrenalina 1mg/ml"/>
        <s v="Insulina glargina"/>
        <s v="Warfarina 5mg"/>
        <s v="Budesonida inhalador"/>
        <s v="Propofol 200mg"/>
        <s v="Ceftriaxona 1g"/>
        <s v="Metformina 850mg"/>
        <s v="Bisoprolol 5mg"/>
        <s v="Midazolam 5mg/ml"/>
        <s v="Dexametasona 4mg"/>
        <s v="Diazepam 10mg"/>
        <s v="Atorvastatina 40mg"/>
        <s v="Paracetamol 100mg/ml"/>
        <s v="Tramadol 50mg"/>
        <s v="Heparina sódica 5000UI"/>
        <s v="Tiotropio inhalador"/>
        <m/>
      </sharedItems>
    </cacheField>
    <cacheField name="Principio activo" numFmtId="0">
      <sharedItems containsBlank="1"/>
    </cacheField>
    <cacheField name="Cantidad" numFmtId="0">
      <sharedItems containsString="0" containsBlank="1" containsNumber="1" containsInteger="1" minValue="-5" maxValue="250"/>
    </cacheField>
    <cacheField name="Unidad" numFmtId="0">
      <sharedItems containsBlank="1"/>
    </cacheField>
    <cacheField name="Precio unitario (€)" numFmtId="0">
      <sharedItems containsString="0" containsBlank="1" containsNumber="1" minValue="0.55000000000000004" maxValue="120"/>
    </cacheField>
    <cacheField name="Coste total (€)" numFmtId="0">
      <sharedItems containsString="0" containsBlank="1" containsNumber="1" minValue="-9.75" maxValue="960"/>
    </cacheField>
    <cacheField name="Proveedor" numFmtId="0">
      <sharedItems containsBlank="1"/>
    </cacheField>
    <cacheField name="Lote" numFmtId="0">
      <sharedItems containsBlank="1"/>
    </cacheField>
    <cacheField name="Fecha caducidad" numFmtId="0">
      <sharedItems containsNonDate="0" containsDate="1" containsString="0" containsBlank="1" minDate="2024-01-31T00:00:00" maxDate="2027-06-01T00:00:00"/>
    </cacheField>
    <cacheField name="Farmacéutico" numFmtId="0">
      <sharedItems containsBlank="1"/>
    </cacheField>
    <cacheField name="Observaciones" numFmtId="0">
      <sharedItems containsBlank="1"/>
    </cacheField>
    <cacheField name="Coste calculado (€)" numFmtId="0">
      <sharedItems containsBlank="1" containsMixedTypes="1" containsNumber="1" minValue="-9.75" maxValue="960"/>
    </cacheField>
    <cacheField name="¿Revisar?" numFmtId="0">
      <sharedItems containsBlank="1"/>
    </cacheField>
    <cacheField name="Días hasta caducidad" numFmtId="0">
      <sharedItems containsString="0" containsBlank="1" containsNumber="1" containsInteger="1" minValue="-392" maxValue="826"/>
    </cacheField>
    <cacheField name="Categoría (observación)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s v="D-1001"/>
    <d v="2025-02-03T00:00:00"/>
    <x v="0"/>
    <s v="Enalapril 10mg"/>
    <s v="Enalapril"/>
    <n v="30"/>
    <s v="comprimidos"/>
    <n v="3.2"/>
    <n v="96"/>
    <s v="Kern Pharma"/>
    <s v="L23A"/>
    <d v="2026-08-31T00:00:00"/>
    <s v="Ana Ruiz"/>
    <s v="Tratamiento crónico de HTA, revisión en 3 meses."/>
    <n v="96"/>
    <n v="574"/>
    <s v="OK"/>
  </r>
  <r>
    <s v="D-1002"/>
    <d v="2025-02-03T00:00:00"/>
    <x v="1"/>
    <s v="Paracetamol 1g"/>
    <s v="Paracetamol"/>
    <n v="50"/>
    <s v="comprimidos"/>
    <n v="2.1"/>
    <n v="105"/>
    <s v="Normon"/>
    <s v="P11B"/>
    <d v="2027-01-31T00:00:00"/>
    <s v="Luis Gómez"/>
    <s v="Dispensación urgente nocturna."/>
    <n v="105"/>
    <n v="727"/>
    <s v="OK"/>
  </r>
  <r>
    <s v="D-1003"/>
    <d v="2025-02-04T00:00:00"/>
    <x v="2"/>
    <s v="Morfina 10mg/ml"/>
    <s v="Morfina"/>
    <n v="10"/>
    <s v="ampollas"/>
    <n v="4.5"/>
    <n v="45"/>
    <s v="Sanofi"/>
    <s v="M09C"/>
    <d v="2026-05-30T00:00:00"/>
    <s v="Marta Sánchez"/>
    <s v="Control de estupefacientes verificado por dos técnicos."/>
    <n v="45"/>
    <n v="480"/>
    <s v="OK"/>
  </r>
  <r>
    <s v="D-1004"/>
    <d v="2025-02-05T00:00:00"/>
    <x v="3"/>
    <s v="Amoxicilina 250mg"/>
    <s v="Amoxicilina"/>
    <n v="20"/>
    <s v="sobres"/>
    <n v="1.8"/>
    <n v="36"/>
    <s v="Kern Pharma"/>
    <s v="A77D"/>
    <d v="2026-11-30T00:00:00"/>
    <s v="Pedro Díaz"/>
    <s v="Paciente con posible alergia a penicilina, se avisa al médico."/>
    <n v="36"/>
    <n v="663"/>
    <s v="OK"/>
  </r>
  <r>
    <s v="D-1005"/>
    <d v="2025-02-05T00:00:00"/>
    <x v="0"/>
    <s v="Furosemida 40mg"/>
    <s v="Furosemida"/>
    <n v="40"/>
    <s v="comprimidos"/>
    <n v="0.95"/>
    <n v="38"/>
    <s v="Normon"/>
    <s v="F32E"/>
    <d v="2026-09-30T00:00:00"/>
    <s v="Ana Ruiz"/>
    <s v="Ajuste de dosis por función renal."/>
    <n v="38"/>
    <n v="602"/>
    <s v="OK"/>
  </r>
  <r>
    <s v="D-1006"/>
    <d v="2025-02-06T00:00:00"/>
    <x v="4"/>
    <s v="Ondansetrón 8mg"/>
    <s v="Ondansetrón"/>
    <n v="15"/>
    <s v="ampollas"/>
    <n v="5.4"/>
    <n v="81"/>
    <s v="Sanofi"/>
    <s v="O55F"/>
    <d v="2026-03-31T00:00:00"/>
    <s v="Marta Sánchez"/>
    <s v="Prevención de náuseas por quimioterapia."/>
    <n v="81"/>
    <n v="418"/>
    <s v="OK"/>
  </r>
  <r>
    <s v="D-1007"/>
    <d v="2025-02-07T00:00:00"/>
    <x v="1"/>
    <s v="Metamizol 575mg"/>
    <s v="Metamizol"/>
    <n v="30"/>
    <s v="cápsulas"/>
    <n v="1.2"/>
    <n v="36"/>
    <s v="Normon"/>
    <s v="ME14"/>
    <d v="2027-04-30T00:00:00"/>
    <s v="Luis Gómez"/>
    <s v="Dolor agudo, buena tolerancia."/>
    <n v="36"/>
    <n v="812"/>
    <s v="OK"/>
  </r>
  <r>
    <s v="D-1008"/>
    <d v="2025-02-08T00:00:00"/>
    <x v="5"/>
    <s v="Omeprazol 20mg"/>
    <s v="Omeprazol"/>
    <n v="60"/>
    <s v="cápsulas"/>
    <n v="0.8"/>
    <n v="48"/>
    <s v="Kern Pharma"/>
    <s v="OM22"/>
    <d v="2026-12-31T00:00:00"/>
    <s v="Pedro Díaz"/>
    <s v="Protección gástrica en polimedicado."/>
    <n v="48"/>
    <n v="691"/>
    <s v="OK"/>
  </r>
  <r>
    <s v="D-1009"/>
    <d v="2025-02-09T00:00:00"/>
    <x v="6"/>
    <s v="Enoxaparina 40mg"/>
    <s v="Enoxaparina"/>
    <n v="25"/>
    <s v="jeringas"/>
    <n v="6.3"/>
    <n v="157.5"/>
    <s v="Sanofi"/>
    <s v="EN80"/>
    <d v="2026-07-31T00:00:00"/>
    <s v="Ana Ruiz"/>
    <s v="Profilaxis tromboembólica postquirúrgica."/>
    <n v="157.5"/>
    <n v="537"/>
    <s v="OK"/>
  </r>
  <r>
    <s v="D-1010"/>
    <d v="2025-02-10T00:00:00"/>
    <x v="2"/>
    <s v="Noradrenalina 1mg/ml"/>
    <s v="Noradrenalina"/>
    <n v="12"/>
    <s v="ampollas"/>
    <n v="3.9"/>
    <n v="46.8"/>
    <s v="Pfizer"/>
    <s v="NA31"/>
    <d v="2026-06-30T00:00:00"/>
    <s v="Marta Sánchez"/>
    <s v="Soporte hemodinámico en shock séptico."/>
    <n v="46.8"/>
    <n v="505"/>
    <s v="OK"/>
  </r>
  <r>
    <s v="D-1011"/>
    <d v="2025-02-11T00:00:00"/>
    <x v="7"/>
    <s v="Salbutamol inhalador"/>
    <s v="Salbutamol"/>
    <n v="18"/>
    <s v="inhaladores"/>
    <n v="2.75"/>
    <n v="49.5"/>
    <s v="Kern Pharma"/>
    <s v="SB27"/>
    <d v="2027-02-28T00:00:00"/>
    <s v="Luis Gómez"/>
    <s v="Crisis asmática, técnica de inhalación explicada."/>
    <n v="49.5"/>
    <n v="747"/>
    <s v="OK"/>
  </r>
  <r>
    <s v="D-1012"/>
    <d v="2025-02-12T00:00:00"/>
    <x v="0"/>
    <s v="Digoxina 0,25mg"/>
    <s v="Digoxina"/>
    <n v="30"/>
    <s v="comprimidos"/>
    <n v="1.1000000000000001"/>
    <n v="33"/>
    <s v="Normon"/>
    <s v="DG10"/>
    <d v="2026-10-31T00:00:00"/>
    <s v="Ana Ruiz"/>
    <s v="Estrecho margen terapéutico, monitorizar niveles."/>
    <n v="33"/>
    <n v="626"/>
    <s v="OK"/>
  </r>
  <r>
    <s v="D-1013"/>
    <d v="2025-02-13T00:00:00"/>
    <x v="3"/>
    <s v="Ibuprofeno 100mg/5ml"/>
    <s v="Ibuprofeno"/>
    <n v="10"/>
    <s v="frascos"/>
    <n v="2.4"/>
    <n v="24"/>
    <s v="Normon"/>
    <s v="IB45"/>
    <d v="2026-04-30T00:00:00"/>
    <s v="Pedro Díaz"/>
    <s v="Fiebre en paciente pediátrico."/>
    <n v="24"/>
    <n v="441"/>
    <s v="OK"/>
  </r>
  <r>
    <s v="D-1014"/>
    <d v="2025-02-14T00:00:00"/>
    <x v="4"/>
    <s v="Filgrastim 30MU"/>
    <s v="Filgrastim"/>
    <n v="8"/>
    <s v="jeringas"/>
    <n v="120"/>
    <n v="960"/>
    <s v="Pfizer"/>
    <s v="FG02"/>
    <d v="2026-01-31T00:00:00"/>
    <s v="Marta Sánchez"/>
    <s v="Soporte tras neutropenia, cadena de frío OK."/>
    <n v="960"/>
    <n v="351"/>
    <s v="OK"/>
  </r>
  <r>
    <s v="D-1015"/>
    <d v="2025-02-15T00:00:00"/>
    <x v="1"/>
    <s v="Adrenalina 1mg/ml"/>
    <s v="Adrenalina"/>
    <n v="-5"/>
    <s v="ampollas"/>
    <n v="1.95"/>
    <n v="-9.75"/>
    <s v="Sanofi"/>
    <s v="AD19"/>
    <d v="2026-08-31T00:00:00"/>
    <s v="Luis Gómez"/>
    <s v="Registro de reacción anafiláctica, revisar cantidad negativa."/>
    <n v="-9.75"/>
    <n v="562"/>
    <s v="Revisar"/>
  </r>
  <r>
    <s v="D-1016"/>
    <d v="2025-02-16T00:00:00"/>
    <x v="5"/>
    <s v="Insulina glargina"/>
    <s v="Insulina"/>
    <n v="14"/>
    <s v="plumas"/>
    <n v="9999"/>
    <n v="139986"/>
    <s v="Sanofi"/>
    <s v="IG77"/>
    <d v="2026-09-30T00:00:00"/>
    <s v="Pedro Díaz"/>
    <s v="Precio erróneo, verificar con proveedor."/>
    <n v="139986"/>
    <n v="591"/>
    <s v="Revisar"/>
  </r>
  <r>
    <s v="D-1017"/>
    <d v="2025-02-17T00:00:00"/>
    <x v="6"/>
    <s v="Paracetamol 1g"/>
    <s v="Paracetamol"/>
    <n v="45"/>
    <s v="comprimidos"/>
    <n v="2.1"/>
    <n v="94.5"/>
    <s v="Normon"/>
    <s v="P11B"/>
    <d v="2027-01-31T00:00:00"/>
    <s v="Ana Ruiz"/>
    <s v="Dolor postoperatorio leve."/>
    <n v="94.5"/>
    <n v="713"/>
    <s v="OK"/>
  </r>
  <r>
    <s v="D-1018"/>
    <d v="2025-02-18T00:00:00"/>
    <x v="0"/>
    <s v="Warfarina 5mg"/>
    <s v="Warfarina"/>
    <n v="30"/>
    <s v="comprimidos"/>
    <n v="1.35"/>
    <n v="40.5"/>
    <s v="Kern Pharma"/>
    <s v="WF63"/>
    <d v="2026-12-31T00:00:00"/>
    <s v="Marta Sánchez"/>
    <s v="Anticoagulación oral, control de INR pendiente."/>
    <n v="40.5"/>
    <n v="681"/>
    <s v="OK"/>
  </r>
  <r>
    <s v="D-1019"/>
    <d v="2025-02-19T00:00:00"/>
    <x v="7"/>
    <s v="Budesonida inhalador"/>
    <s v="Budesonida"/>
    <n v="16"/>
    <s v="inhaladores"/>
    <n v="4.2"/>
    <n v="67.2"/>
    <s v="Kern Pharma"/>
    <s v="BD90"/>
    <d v="2027-03-31T00:00:00"/>
    <s v="Luis Gómez"/>
    <s v="EPOC estable."/>
    <n v="67.2"/>
    <n v="770"/>
    <s v="OK"/>
  </r>
  <r>
    <s v="D-1020"/>
    <d v="2025-02-20T00:00:00"/>
    <x v="2"/>
    <s v="Propofol 200mg"/>
    <s v="Propofol"/>
    <n v="20"/>
    <s v="viales"/>
    <n v="7.8"/>
    <n v="156"/>
    <s v="Pfizer"/>
    <s v="PF44"/>
    <d v="2026-05-31T00:00:00"/>
    <s v="Pedro Díaz"/>
    <s v="Sedación en ventilación mecánica."/>
    <n v="156"/>
    <n v="465"/>
    <s v="OK"/>
  </r>
  <r>
    <s v="D-1021"/>
    <d v="2025-02-21T00:00:00"/>
    <x v="4"/>
    <s v="Ondansetrón 8mg"/>
    <s v="Ondansetrón"/>
    <n v="15"/>
    <s v="ampollas"/>
    <n v="5.4"/>
    <n v="81"/>
    <s v="Sanofi"/>
    <s v="O55F"/>
    <d v="2026-03-31T00:00:00"/>
    <s v="Ana Ruiz"/>
    <s v="Reacción adversa leve: cefalea transitoria."/>
    <n v="81"/>
    <n v="403"/>
    <s v="OK"/>
  </r>
  <r>
    <s v="D-1022"/>
    <d v="2025-02-22T00:00:00"/>
    <x v="1"/>
    <s v="Ceftriaxona 1g"/>
    <s v="Ceftriaxona"/>
    <n v="22"/>
    <s v="viales"/>
    <n v="3.1"/>
    <n v="68.2"/>
    <s v="Normon"/>
    <s v="CX58"/>
    <d v="2026-11-30T00:00:00"/>
    <s v="Marta Sánchez"/>
    <s v="Sospecha de infección urinaria complicada."/>
    <n v="68.2"/>
    <n v="646"/>
    <s v="OK"/>
  </r>
  <r>
    <s v="D-1023"/>
    <d v="2025-02-23T00:00:00"/>
    <x v="3"/>
    <s v="Amoxicilina 250mg"/>
    <s v="Amoxicilina"/>
    <n v="20"/>
    <s v="sobres"/>
    <n v="1.8"/>
    <n v="180"/>
    <s v="Kern Pharma"/>
    <s v="A77D"/>
    <d v="2026-11-30T00:00:00"/>
    <s v="Luis Gómez"/>
    <s v="Coste total no cuadra, revisar."/>
    <n v="36"/>
    <n v="645"/>
    <s v="Revisar"/>
  </r>
  <r>
    <s v="D-1024"/>
    <d v="2025-02-24T00:00:00"/>
    <x v="5"/>
    <s v="Metformina 850mg"/>
    <s v="Metformina"/>
    <n v="90"/>
    <s v="comprimidos"/>
    <n v="0.7"/>
    <n v="63"/>
    <s v="Normon"/>
    <s v="MF12"/>
    <d v="2027-05-31T00:00:00"/>
    <s v="Pedro Díaz"/>
    <s v="Diabetes tipo 2, buena adherencia."/>
    <n v="62.999999999999993"/>
    <n v="826"/>
    <s v="OK"/>
  </r>
  <r>
    <s v="D-1025"/>
    <d v="2025-02-25T00:00:00"/>
    <x v="0"/>
    <s v="Bisoprolol 5mg"/>
    <s v="Bisoprolol"/>
    <n v="30"/>
    <s v="comprimidos"/>
    <n v="1.05"/>
    <n v="31.5"/>
    <s v="Kern Pharma"/>
    <s v="BS33"/>
    <d v="2026-10-31T00:00:00"/>
    <s v="Ana Ruiz"/>
    <s v="Control de frecuencia en fibrilación auricular."/>
    <n v="31.5"/>
    <n v="613"/>
    <s v="OK"/>
  </r>
  <r>
    <s v="D-1026"/>
    <d v="2025-02-26T00:00:00"/>
    <x v="6"/>
    <s v="Enoxaparina 40mg"/>
    <s v="Enoxaparina"/>
    <n v="25"/>
    <s v="jeringas"/>
    <n v="6.3"/>
    <n v="157.5"/>
    <s v="Sanofi"/>
    <s v="EN80"/>
    <d v="2024-01-31T00:00:00"/>
    <s v="Marta Sánchez"/>
    <s v="Caducidad anterior a dispensación, retirar lote."/>
    <n v="157.5"/>
    <n v="-392"/>
    <s v="Revisar"/>
  </r>
  <r>
    <s v="D-1027"/>
    <d v="2025-02-27T00:00:00"/>
    <x v="7"/>
    <s v="Salbutamol inhalador"/>
    <s v="Salbutamol"/>
    <n v="18"/>
    <s v="inhaladores"/>
    <n v="2.75"/>
    <n v="49.5"/>
    <m/>
    <s v="SB27"/>
    <d v="2027-02-28T00:00:00"/>
    <s v="Luis Gómez"/>
    <s v="Falta proveedor en el registro."/>
    <n v="49.5"/>
    <n v="731"/>
    <s v="OK"/>
  </r>
  <r>
    <s v="D-1028"/>
    <d v="2025-02-28T00:00:00"/>
    <x v="2"/>
    <s v="Midazolam 5mg/ml"/>
    <s v="Midazolam"/>
    <n v="16"/>
    <s v="ampollas"/>
    <n v="2.6"/>
    <n v="41.6"/>
    <s v="Pfizer"/>
    <s v="MZ21"/>
    <d v="2026-07-31T00:00:00"/>
    <s v="Pedro Díaz"/>
    <s v="Sedación consciente para procedimiento."/>
    <n v="41.6"/>
    <n v="518"/>
    <s v="OK"/>
  </r>
  <r>
    <s v="D-1029"/>
    <d v="2025-03-01T00:00:00"/>
    <x v="4"/>
    <s v="Dexametasona 4mg"/>
    <s v="Dexametasona"/>
    <n v="40"/>
    <s v="comprimidos"/>
    <n v="0.55000000000000004"/>
    <n v="22"/>
    <s v="Normon"/>
    <s v="DX07"/>
    <d v="2026-09-30T00:00:00"/>
    <s v="Ana Ruiz"/>
    <s v="Coadyuvante antiemético."/>
    <n v="22"/>
    <n v="578"/>
    <s v="OK"/>
  </r>
  <r>
    <s v="D-1030"/>
    <d v="2025-03-01T00:00:00"/>
    <x v="1"/>
    <s v="Diazepam 10mg"/>
    <s v="Diazepam"/>
    <n v="25"/>
    <s v="comprimidos"/>
    <n v="0.9"/>
    <n v="22.5"/>
    <s v="Kern Pharma"/>
    <s v="DZ88"/>
    <d v="2027-01-31T00:00:00"/>
    <s v="Marta Sánchez"/>
    <s v="Crisis de ansiedad en urgencias."/>
    <n v="22.5"/>
    <n v="701"/>
    <s v="OK"/>
  </r>
  <r>
    <s v="D-1031"/>
    <d v="2025-03-02T00:00:00"/>
    <x v="0"/>
    <s v="Atorvastatina 40mg"/>
    <s v="Atorvastatina"/>
    <n v="30"/>
    <s v="comprimidos"/>
    <n v="1.25"/>
    <n v="37.5"/>
    <s v="Normon"/>
    <s v="AT16"/>
    <d v="2026-12-31T00:00:00"/>
    <s v="Luis Gómez"/>
    <s v="Prevención cardiovascular secundaria."/>
    <n v="37.5"/>
    <n v="669"/>
    <s v="OK"/>
  </r>
  <r>
    <s v="D-1032"/>
    <d v="2025-03-03T00:00:00"/>
    <x v="3"/>
    <s v="Paracetamol 100mg/ml"/>
    <s v="Paracetamol"/>
    <n v="12"/>
    <s v="frascos"/>
    <n v="2.2999999999999998"/>
    <n v="27.6"/>
    <s v="Normon"/>
    <s v="PC09"/>
    <d v="2026-06-30T00:00:00"/>
    <s v="Pedro Díaz"/>
    <s v="Dosificación por peso explicada a familia."/>
    <n v="27.599999999999998"/>
    <n v="484"/>
    <s v="OK"/>
  </r>
  <r>
    <s v="D-1033"/>
    <d v="2025-03-04T00:00:00"/>
    <x v="5"/>
    <s v="Omeprazol 20mg"/>
    <s v="Omeprazol"/>
    <m/>
    <s v="cápsulas"/>
    <n v="0.8"/>
    <m/>
    <s v="Kern Pharma"/>
    <s v="OM22"/>
    <d v="2026-12-31T00:00:00"/>
    <s v="Ana Ruiz"/>
    <s v="Cantidad y coste sin registrar."/>
    <s v=""/>
    <n v="667"/>
    <s v="Revisar"/>
  </r>
  <r>
    <s v="D-1034"/>
    <d v="2025-03-05T00:00:00"/>
    <x v="6"/>
    <s v="Tramadol 50mg"/>
    <s v="Tramadol"/>
    <n v="30"/>
    <s v="cápsulas"/>
    <n v="1.1499999999999999"/>
    <n v="34.5"/>
    <s v="Sanofi"/>
    <s v="TR40"/>
    <d v="2026-08-31T00:00:00"/>
    <s v="Marta Sánchez"/>
    <s v="Dolor moderado, vigilar somnolencia."/>
    <n v="34.5"/>
    <n v="544"/>
    <s v="OK"/>
  </r>
  <r>
    <s v="D-1035"/>
    <d v="2025-03-06T00:00:00"/>
    <x v="2"/>
    <s v="Heparina sódica 5000UI"/>
    <s v="Heparina"/>
    <n v="20"/>
    <s v="viales"/>
    <n v="2.95"/>
    <n v="59"/>
    <s v="Pfizer"/>
    <s v="HP52"/>
    <d v="2026-05-31T00:00:00"/>
    <s v="Luis Gómez"/>
    <s v="Anticoagulación en terapia continua."/>
    <n v="59"/>
    <n v="451"/>
    <s v="OK"/>
  </r>
  <r>
    <s v="D-1036"/>
    <d v="2025-03-07T00:00:00"/>
    <x v="4"/>
    <s v="Filgrastim 30MU"/>
    <s v="Filgrastim"/>
    <n v="8"/>
    <s v="jeringas"/>
    <n v="120"/>
    <n v="960"/>
    <s v="Pfizer"/>
    <s v="FG02"/>
    <d v="2026-01-31T00:00:00"/>
    <s v="Pedro Díaz"/>
    <s v="Segunda dosis del ciclo."/>
    <n v="960"/>
    <n v="330"/>
    <s v="OK"/>
  </r>
  <r>
    <s v="D-1037"/>
    <d v="2025-03-08T00:00:00"/>
    <x v="7"/>
    <s v="Tiotropio inhalador"/>
    <s v="Tiotropio"/>
    <n v="14"/>
    <s v="inhaladores"/>
    <n v="5.0999999999999996"/>
    <n v="71.400000000000006"/>
    <s v="Kern Pharma"/>
    <s v="TT61"/>
    <d v="2027-04-30T00:00:00"/>
    <s v="Ana Ruiz"/>
    <s v="Mantenimiento de EPOC."/>
    <n v="71.399999999999991"/>
    <n v="783"/>
    <s v="OK"/>
  </r>
  <r>
    <s v="D-1038"/>
    <d v="2025-03-09T00:00:00"/>
    <x v="0"/>
    <s v="Enalapril 10mg"/>
    <s v="Enalapril"/>
    <n v="30"/>
    <s v="comprimidos"/>
    <n v="3.2"/>
    <n v="96"/>
    <s v="Kern Pharma"/>
    <s v="L23A"/>
    <d v="2026-08-31T00:00:00"/>
    <s v="Marta Sánchez"/>
    <s v="Renovación de tratamiento."/>
    <n v="96"/>
    <n v="540"/>
    <s v="OK"/>
  </r>
  <r>
    <s v="D-1039"/>
    <d v="2025-03-10T00:00:00"/>
    <x v="1"/>
    <s v="Metamizol 575mg"/>
    <s v="Metamizol"/>
    <n v="30"/>
    <s v="cápsulas"/>
    <n v="1.2"/>
    <n v="36"/>
    <s v="Normon"/>
    <s v="ME14"/>
    <d v="2027-04-30T00:00:00"/>
    <s v="Luis Gómez"/>
    <s v="Cólico renal, buena respuesta analgésica."/>
    <n v="36"/>
    <n v="781"/>
    <s v="OK"/>
  </r>
  <r>
    <s v="D-1040"/>
    <d v="2025-03-11T00:00:00"/>
    <x v="3"/>
    <s v="Amoxicilina 250mg"/>
    <s v="Amoxicilina"/>
    <n v="20"/>
    <s v="sobres"/>
    <n v="1.8"/>
    <n v="36"/>
    <s v="Kern Pharma"/>
    <s v="A77D"/>
    <d v="2026-11-30T00:00:00"/>
    <s v="Pedro Díaz"/>
    <s v="Otitis media aguda."/>
    <n v="36"/>
    <n v="629"/>
    <s v="OK"/>
  </r>
  <r>
    <s v="D-1041"/>
    <d v="2025-03-12T00:00:00"/>
    <x v="5"/>
    <s v="Metformina 850mg"/>
    <s v="Metformina"/>
    <n v="90"/>
    <s v="comprimidos"/>
    <n v="0.7"/>
    <n v="63"/>
    <s v="Normon"/>
    <s v="MF12"/>
    <d v="2027-05-31T00:00:00"/>
    <s v="Ana Ruiz"/>
    <s v="Ajuste tras control de HbA1c."/>
    <n v="62.999999999999993"/>
    <n v="810"/>
    <s v="OK"/>
  </r>
  <r>
    <s v="D-1042"/>
    <d v="2025-03-13T00:00:00"/>
    <x v="4"/>
    <s v="Dexametasona 4mg"/>
    <s v="Dexametasona"/>
    <n v="250"/>
    <s v="comprimidos"/>
    <n v="0.55000000000000004"/>
    <n v="137.5"/>
    <s v="Normon"/>
    <s v="DX07"/>
    <d v="2026-09-30T00:00:00"/>
    <s v="Marta Sánchez"/>
    <s v="Cantidad muy alta frente a lo habitual, confirmar pedido."/>
    <n v="137.5"/>
    <n v="566"/>
    <s v="OK"/>
  </r>
  <r>
    <s v="D-1043"/>
    <d v="2025-03-14T00:00:00"/>
    <x v="2"/>
    <s v="Propofol 200mg"/>
    <s v="Propofol"/>
    <n v="20"/>
    <s v="viales"/>
    <n v="7.8"/>
    <n v="156"/>
    <s v="Pfizer"/>
    <s v="PF44"/>
    <d v="2026-05-31T00:00:00"/>
    <s v="Luis Gómez"/>
    <s v="Sedación prolongada."/>
    <n v="156"/>
    <n v="443"/>
    <s v="OK"/>
  </r>
  <r>
    <s v="D-1044"/>
    <d v="2025-03-15T00:00:00"/>
    <x v="6"/>
    <s v="Tramadol 50mg"/>
    <s v="Tramadol"/>
    <n v="30"/>
    <s v="cápsulas"/>
    <n v="1.1499999999999999"/>
    <n v="34.5"/>
    <s v="Sanofi"/>
    <s v="TR40"/>
    <d v="2026-08-31T00:00:00"/>
    <s v="Pedro Díaz"/>
    <s v="Alta con pauta descendente."/>
    <n v="34.5"/>
    <n v="534"/>
    <s v="OK"/>
  </r>
  <r>
    <s v="D-1045"/>
    <d v="2025-03-16T00:00:00"/>
    <x v="0"/>
    <s v="Atorvastatina 40mg"/>
    <s v="Atorvastatina"/>
    <n v="30"/>
    <s v="comprimidos"/>
    <n v="1.25"/>
    <n v="37.5"/>
    <s v="Normon"/>
    <s v="AT16"/>
    <d v="2026-12-31T00:00:00"/>
    <s v="Ana Ruiz"/>
    <s v="Sin incidencias."/>
    <n v="37.5"/>
    <n v="655"/>
    <s v="OK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D-1001"/>
    <d v="2025-02-03T00:00:00"/>
    <x v="0"/>
    <x v="0"/>
    <s v="Enalapril"/>
    <n v="30"/>
    <s v="comprimidos"/>
    <n v="3.2"/>
    <n v="96"/>
    <s v="Kern Pharma"/>
    <s v="L23A"/>
    <d v="2026-08-31T00:00:00"/>
    <s v="Ana Ruiz"/>
    <s v="Tratamiento crónico de HTA, revisión en 3 meses."/>
    <n v="96"/>
    <s v="OK"/>
    <n v="574"/>
    <s v="Seguimiento clínico"/>
  </r>
  <r>
    <s v="D-1002"/>
    <d v="2025-03-02T00:00:00"/>
    <x v="1"/>
    <x v="1"/>
    <s v="Paracetamol"/>
    <n v="50"/>
    <s v="comprimidos"/>
    <n v="2.1"/>
    <n v="105"/>
    <s v="Normon"/>
    <s v="P11B"/>
    <d v="2027-01-31T00:00:00"/>
    <s v="Luis Gómez"/>
    <s v="Dispensación urgente nocturna."/>
    <n v="105"/>
    <s v="OK"/>
    <n v="700"/>
    <s v="Seguimiento clínico"/>
  </r>
  <r>
    <s v="D-1003"/>
    <d v="2025-02-04T00:00:00"/>
    <x v="2"/>
    <x v="2"/>
    <s v="Morfina"/>
    <n v="10"/>
    <s v="ampollas"/>
    <n v="4.5"/>
    <n v="45"/>
    <s v="Sanofi"/>
    <s v="M09C"/>
    <d v="2026-05-30T00:00:00"/>
    <s v="Marta Sánchez"/>
    <s v="Control de estupefacientes verificado por dos técnicos."/>
    <n v="45"/>
    <s v="OK"/>
    <n v="480"/>
    <s v="Estupefacientes"/>
  </r>
  <r>
    <s v="D-1004"/>
    <d v="2025-02-05T00:00:00"/>
    <x v="3"/>
    <x v="3"/>
    <s v="Amoxicilina"/>
    <n v="20"/>
    <s v="sobres"/>
    <n v="1.8"/>
    <n v="36"/>
    <s v="Kern Pharma"/>
    <s v="A77D"/>
    <d v="2026-11-30T00:00:00"/>
    <s v="Pedro Díaz"/>
    <s v="Paciente con posible alergia a penicilina, se avisa al médico."/>
    <n v="36"/>
    <s v="OK"/>
    <n v="663"/>
    <s v="Alergia"/>
  </r>
  <r>
    <s v="D-1005"/>
    <d v="2025-02-05T00:00:00"/>
    <x v="0"/>
    <x v="4"/>
    <s v="Furosemida"/>
    <n v="40"/>
    <s v="comprimidos"/>
    <n v="0.95"/>
    <n v="38"/>
    <s v="Normon"/>
    <s v="F32E"/>
    <d v="2026-09-30T00:00:00"/>
    <s v="Ana Ruiz"/>
    <s v="Ajuste de dosis por función renal."/>
    <n v="38"/>
    <s v="OK"/>
    <n v="602"/>
    <s v="Seguimiento clínico"/>
  </r>
  <r>
    <s v="D-1006"/>
    <d v="2025-02-06T00:00:00"/>
    <x v="4"/>
    <x v="5"/>
    <s v="Ondansetrón"/>
    <n v="15"/>
    <s v="ampollas"/>
    <n v="5.4"/>
    <n v="81"/>
    <s v="Sanofi"/>
    <s v="O55F"/>
    <d v="2026-03-31T00:00:00"/>
    <s v="Marta Sánchez"/>
    <s v="Prevención de náuseas por quimioterapia."/>
    <n v="81"/>
    <s v="OK"/>
    <n v="418"/>
    <s v="Seguimiento clínico"/>
  </r>
  <r>
    <s v="D-1007"/>
    <d v="2025-02-07T00:00:00"/>
    <x v="1"/>
    <x v="6"/>
    <s v="Metamizol"/>
    <n v="30"/>
    <s v="cápsulas"/>
    <n v="1.2"/>
    <n v="36"/>
    <s v="Normon"/>
    <s v="ME14"/>
    <d v="2027-04-30T00:00:00"/>
    <s v="Luis Gómez"/>
    <s v="Dolor agudo, buena tolerancia."/>
    <n v="36"/>
    <s v="OK"/>
    <n v="812"/>
    <s v="Seguimiento clínico"/>
  </r>
  <r>
    <s v="D-1008"/>
    <d v="2025-02-08T00:00:00"/>
    <x v="5"/>
    <x v="7"/>
    <s v="Omeprazol"/>
    <n v="60"/>
    <s v="cápsulas"/>
    <n v="0.8"/>
    <n v="48"/>
    <s v="Kern Pharma"/>
    <s v="OM22"/>
    <d v="2026-12-31T00:00:00"/>
    <s v="Pedro Díaz"/>
    <s v="Protección gástrica en polimedicado."/>
    <n v="48"/>
    <s v="OK"/>
    <n v="691"/>
    <s v="Seguimiento clínico"/>
  </r>
  <r>
    <s v="D-1009"/>
    <d v="2025-02-09T00:00:00"/>
    <x v="6"/>
    <x v="8"/>
    <s v="Enoxaparina"/>
    <n v="25"/>
    <s v="jeringas"/>
    <n v="6.3"/>
    <n v="157.5"/>
    <s v="Sanofi"/>
    <s v="EN80"/>
    <d v="2026-07-31T00:00:00"/>
    <s v="Ana Ruiz"/>
    <s v="Profilaxis tromboembólica postquirúrgica."/>
    <n v="157.5"/>
    <s v="OK"/>
    <n v="537"/>
    <s v="Seguimiento clínico"/>
  </r>
  <r>
    <s v="D-1010"/>
    <d v="2025-02-11T00:00:00"/>
    <x v="2"/>
    <x v="9"/>
    <s v="Noradrenalina"/>
    <n v="12"/>
    <s v="ampollas"/>
    <n v="3.9"/>
    <n v="46.8"/>
    <s v="Pfizer"/>
    <s v="NA31"/>
    <d v="2026-06-30T00:00:00"/>
    <s v="Marta Sánchez"/>
    <s v="Soporte hemodinámico en shock séptico."/>
    <n v="46.8"/>
    <s v="OK"/>
    <n v="504"/>
    <s v="Seguimiento clínico"/>
  </r>
  <r>
    <s v="D-1011"/>
    <d v="2025-02-11T00:00:00"/>
    <x v="7"/>
    <x v="10"/>
    <s v="Salbutamol"/>
    <n v="18"/>
    <s v="inhaladores"/>
    <n v="2.75"/>
    <n v="49.5"/>
    <s v="Kern Pharma"/>
    <s v="SB27"/>
    <d v="2027-02-28T00:00:00"/>
    <s v="Luis Gómez"/>
    <s v="Crisis asmática, técnica de inhalación explicada."/>
    <n v="49.5"/>
    <s v="OK"/>
    <n v="747"/>
    <s v="Seguimiento clínico"/>
  </r>
  <r>
    <s v="D-1012"/>
    <d v="2025-02-12T00:00:00"/>
    <x v="0"/>
    <x v="11"/>
    <s v="Digoxina"/>
    <n v="30"/>
    <s v="comprimidos"/>
    <n v="1.1000000000000001"/>
    <n v="33"/>
    <s v="Normon"/>
    <s v="DG10"/>
    <d v="2026-10-31T00:00:00"/>
    <s v="Ana Ruiz"/>
    <s v="Estrecho margen terapéutico, monitorizar niveles."/>
    <n v="33"/>
    <s v="OK"/>
    <n v="626"/>
    <s v="Seguimiento clínico"/>
  </r>
  <r>
    <s v="D-1013"/>
    <d v="2025-02-13T00:00:00"/>
    <x v="3"/>
    <x v="12"/>
    <s v="Ibuprofeno"/>
    <n v="10"/>
    <s v="frascos"/>
    <n v="2.4"/>
    <n v="24"/>
    <s v="Normon"/>
    <s v="IB45"/>
    <d v="2026-04-30T00:00:00"/>
    <s v="Pedro Díaz"/>
    <s v="Fiebre en paciente pediátrico."/>
    <n v="24"/>
    <s v="OK"/>
    <n v="441"/>
    <s v="Seguimiento clínico"/>
  </r>
  <r>
    <s v="D-1014"/>
    <d v="2025-02-14T00:00:00"/>
    <x v="4"/>
    <x v="13"/>
    <s v="Filgrastim"/>
    <n v="8"/>
    <s v="jeringas"/>
    <n v="120"/>
    <n v="960"/>
    <s v="Pfizer"/>
    <s v="FG02"/>
    <d v="2026-01-31T00:00:00"/>
    <s v="Marta Sánchez"/>
    <s v="Soporte tras neutropenia, cadena de frío OK."/>
    <n v="960"/>
    <s v="OK"/>
    <n v="351"/>
    <s v="Seguimiento clínico"/>
  </r>
  <r>
    <s v="D-1015"/>
    <d v="2025-02-15T00:00:00"/>
    <x v="1"/>
    <x v="14"/>
    <s v="Adrenalina"/>
    <n v="-5"/>
    <s v="ampollas"/>
    <n v="1.95"/>
    <n v="-9.75"/>
    <s v="Sanofi"/>
    <s v="AD19"/>
    <d v="2026-08-31T00:00:00"/>
    <s v="Luis Gómez"/>
    <s v="Registro de reacción anafiláctica, revisar cantidad negativa."/>
    <n v="-9.75"/>
    <s v="Revisar"/>
    <n v="562"/>
    <s v="Reacción adversa"/>
  </r>
  <r>
    <s v="D-1016"/>
    <d v="2025-02-16T00:00:00"/>
    <x v="5"/>
    <x v="15"/>
    <s v="Insulina"/>
    <n v="14"/>
    <s v="plumas"/>
    <n v="30"/>
    <n v="420"/>
    <s v="Sanofi"/>
    <s v="IG77"/>
    <d v="2026-09-30T00:00:00"/>
    <s v="Pedro Díaz"/>
    <s v="Precio erróneo, verificar con proveedor."/>
    <n v="420"/>
    <s v="OK"/>
    <n v="591"/>
    <s v="Stock/Incidencia"/>
  </r>
  <r>
    <s v="D-1017"/>
    <d v="2025-02-18T00:00:00"/>
    <x v="6"/>
    <x v="1"/>
    <s v="Paracetamol"/>
    <n v="45"/>
    <s v="comprimidos"/>
    <n v="2.1"/>
    <n v="94.5"/>
    <s v="Normon"/>
    <s v="P11B"/>
    <d v="2027-01-31T00:00:00"/>
    <s v="Ana Ruiz"/>
    <s v="Dolor postoperatorio leve."/>
    <n v="94.5"/>
    <s v="OK"/>
    <n v="712"/>
    <s v="Seguimiento clínico"/>
  </r>
  <r>
    <s v="D-1018"/>
    <d v="2025-02-18T00:00:00"/>
    <x v="0"/>
    <x v="16"/>
    <s v="Warfarina"/>
    <n v="30"/>
    <s v="comprimidos"/>
    <n v="1.35"/>
    <n v="40.5"/>
    <s v="Kern Pharma"/>
    <s v="WF63"/>
    <d v="2026-12-31T00:00:00"/>
    <s v="Marta Sánchez"/>
    <s v="Anticoagulación oral, control de INR pendiente."/>
    <n v="40.5"/>
    <s v="OK"/>
    <n v="681"/>
    <s v="Seguimiento clínico"/>
  </r>
  <r>
    <s v="D-1019"/>
    <d v="2025-02-19T00:00:00"/>
    <x v="7"/>
    <x v="17"/>
    <s v="Budesonida"/>
    <n v="16"/>
    <s v="inhaladores"/>
    <n v="4.2"/>
    <n v="67.2"/>
    <s v="Kern Pharma"/>
    <s v="BD90"/>
    <d v="2027-03-31T00:00:00"/>
    <s v="Luis Gómez"/>
    <s v="EPOC estable."/>
    <n v="67.2"/>
    <s v="OK"/>
    <n v="770"/>
    <s v="Seguimiento clínico"/>
  </r>
  <r>
    <s v="D-1020"/>
    <d v="2025-02-20T00:00:00"/>
    <x v="2"/>
    <x v="18"/>
    <s v="Propofol"/>
    <n v="15"/>
    <s v="viales"/>
    <n v="7.8"/>
    <n v="156"/>
    <s v="Pfizer"/>
    <s v="PF44"/>
    <d v="2026-05-31T00:00:00"/>
    <s v="Pedro Díaz"/>
    <s v="Sedación en ventilación mecánica."/>
    <n v="117"/>
    <s v="Revisar"/>
    <n v="465"/>
    <s v="Seguimiento clínico"/>
  </r>
  <r>
    <s v="D-1021"/>
    <d v="2025-02-21T00:00:00"/>
    <x v="4"/>
    <x v="5"/>
    <s v="Ondansetrón"/>
    <n v="15"/>
    <s v="ampollas"/>
    <n v="5.4"/>
    <n v="81"/>
    <s v="Sanofi"/>
    <s v="O55F"/>
    <d v="2026-03-31T00:00:00"/>
    <s v="Ana Ruiz"/>
    <s v="Reacción adversa leve: cefalea transitoria."/>
    <n v="81"/>
    <s v="OK"/>
    <n v="403"/>
    <s v="Reacción adversa"/>
  </r>
  <r>
    <s v="D-1022"/>
    <d v="2025-02-22T00:00:00"/>
    <x v="1"/>
    <x v="19"/>
    <s v="Ceftriaxona"/>
    <n v="22"/>
    <s v="viales"/>
    <n v="3.1"/>
    <n v="68.2"/>
    <s v="Normon"/>
    <s v="CX58"/>
    <d v="2026-11-30T00:00:00"/>
    <s v="Marta Sánchez"/>
    <s v="Sospecha de infección urinaria complicada."/>
    <n v="68.2"/>
    <s v="OK"/>
    <n v="646"/>
    <s v="Seguimiento clínico"/>
  </r>
  <r>
    <s v="D-1023"/>
    <d v="2025-02-23T00:00:00"/>
    <x v="3"/>
    <x v="3"/>
    <s v="Amoxicilina"/>
    <n v="20"/>
    <s v="sobres"/>
    <n v="1.8"/>
    <n v="180"/>
    <s v="Kern Pharma"/>
    <s v="A77D"/>
    <d v="2026-11-30T00:00:00"/>
    <s v="Luis Gómez"/>
    <s v="Coste total no cuadra, revisar."/>
    <n v="36"/>
    <s v="Revisar"/>
    <n v="645"/>
    <s v="Stock/Incidencia"/>
  </r>
  <r>
    <s v="D-1024"/>
    <d v="2025-02-24T00:00:00"/>
    <x v="5"/>
    <x v="20"/>
    <s v="Metformina"/>
    <n v="90"/>
    <s v="comprimidos"/>
    <n v="1.05"/>
    <n v="63"/>
    <s v="Normon"/>
    <s v="MF12"/>
    <d v="2027-05-31T00:00:00"/>
    <s v="Pedro Díaz"/>
    <s v="Diabetes tipo 2, buena adherencia."/>
    <n v="94.5"/>
    <s v="Revisar"/>
    <n v="826"/>
    <s v="Seguimiento clínico"/>
  </r>
  <r>
    <s v="D-1025"/>
    <d v="2025-02-25T00:00:00"/>
    <x v="0"/>
    <x v="21"/>
    <s v="Bisoprolol"/>
    <n v="30"/>
    <s v="comprimidos"/>
    <n v="1.05"/>
    <n v="31.5"/>
    <s v="Kern Pharma"/>
    <s v="BS33"/>
    <d v="2026-10-31T00:00:00"/>
    <s v="Ana Ruiz"/>
    <s v="Control de frecuencia en fibrilación auricular."/>
    <n v="31.5"/>
    <s v="OK"/>
    <n v="613"/>
    <s v="Seguimiento clínico"/>
  </r>
  <r>
    <s v="D-1026"/>
    <d v="2025-02-26T00:00:00"/>
    <x v="6"/>
    <x v="8"/>
    <s v="Enoxaparina"/>
    <n v="25"/>
    <s v="jeringas"/>
    <n v="6.3"/>
    <n v="157.5"/>
    <s v="Sanofi"/>
    <s v="EN80"/>
    <d v="2024-01-31T00:00:00"/>
    <s v="Marta Sánchez"/>
    <s v="Caducidad anterior a dispensación, retirar lote."/>
    <n v="157.5"/>
    <s v="Revisar"/>
    <n v="-392"/>
    <s v="Stock/Incidencia"/>
  </r>
  <r>
    <s v="D-1027"/>
    <d v="2025-02-27T00:00:00"/>
    <x v="7"/>
    <x v="10"/>
    <s v="Salbutamol"/>
    <n v="18"/>
    <s v="inhaladores"/>
    <n v="2.75"/>
    <n v="49.5"/>
    <m/>
    <s v="SB27"/>
    <d v="2027-02-28T00:00:00"/>
    <s v="Luis Gómez"/>
    <s v="Falta proveedor en el registro."/>
    <n v="49.5"/>
    <s v="Revisar"/>
    <n v="731"/>
    <s v="Stock/Incidencia"/>
  </r>
  <r>
    <s v="D-1028"/>
    <d v="2025-02-28T00:00:00"/>
    <x v="2"/>
    <x v="22"/>
    <s v="Midazolam"/>
    <n v="16"/>
    <s v="ampollas"/>
    <n v="2.6"/>
    <n v="41.6"/>
    <s v="Pfizer"/>
    <s v="MZ21"/>
    <d v="2026-07-31T00:00:00"/>
    <s v="Pedro Díaz"/>
    <s v="Sedación consciente para procedimiento."/>
    <n v="41.6"/>
    <s v="OK"/>
    <n v="518"/>
    <s v="Seguimiento clínico"/>
  </r>
  <r>
    <s v="D-1029"/>
    <d v="2025-03-01T00:00:00"/>
    <x v="4"/>
    <x v="23"/>
    <s v="Dexametasona"/>
    <n v="40"/>
    <s v="comprimidos"/>
    <n v="0.55000000000000004"/>
    <n v="22"/>
    <s v="Normon"/>
    <s v="DX07"/>
    <d v="2026-09-30T00:00:00"/>
    <s v="Ana Ruiz"/>
    <s v="Coadyuvante antiemético."/>
    <n v="22"/>
    <s v="OK"/>
    <n v="578"/>
    <s v="Seguimiento clínico"/>
  </r>
  <r>
    <s v="D-1030"/>
    <d v="2025-01-03T00:00:00"/>
    <x v="1"/>
    <x v="24"/>
    <s v="Diazepam"/>
    <n v="25"/>
    <s v="comprimidos"/>
    <n v="0.9"/>
    <n v="22.5"/>
    <s v="Kern Pharma"/>
    <s v="DZ88"/>
    <d v="2027-01-31T00:00:00"/>
    <s v="Marta Sánchez"/>
    <s v="Crisis de ansiedad en urgencias."/>
    <n v="22.5"/>
    <s v="OK"/>
    <n v="758"/>
    <s v="Seguimiento clínico"/>
  </r>
  <r>
    <s v="D-1031"/>
    <d v="2025-03-02T00:00:00"/>
    <x v="0"/>
    <x v="25"/>
    <s v="Atorvastatina"/>
    <n v="30"/>
    <s v="comprimidos"/>
    <n v="1.25"/>
    <n v="37.5"/>
    <s v="Normon"/>
    <s v="AT16"/>
    <d v="2026-12-31T00:00:00"/>
    <s v="Luis Gómez"/>
    <s v="Prevención cardiovascular secundaria."/>
    <n v="37.5"/>
    <s v="OK"/>
    <n v="669"/>
    <s v="Seguimiento clínico"/>
  </r>
  <r>
    <s v="D-1032"/>
    <d v="2025-03-03T00:00:00"/>
    <x v="3"/>
    <x v="26"/>
    <s v="Paracetamol"/>
    <n v="12"/>
    <s v="frascos"/>
    <n v="2.2999999999999998"/>
    <n v="27.6"/>
    <s v="Normon"/>
    <s v="PC09"/>
    <d v="2026-06-30T00:00:00"/>
    <s v="Pedro Díaz"/>
    <s v="Dosificación por peso explicada a familia."/>
    <n v="27.599999999999998"/>
    <s v="OK"/>
    <n v="484"/>
    <s v="Seguimiento clínico"/>
  </r>
  <r>
    <s v="D-1033"/>
    <d v="2025-03-04T00:00:00"/>
    <x v="5"/>
    <x v="7"/>
    <s v="Omeprazol"/>
    <m/>
    <s v="cápsulas"/>
    <n v="0.8"/>
    <m/>
    <s v="Kern Pharma"/>
    <s v="OM22"/>
    <d v="2026-12-31T00:00:00"/>
    <s v="Ana Ruiz"/>
    <s v="Cantidad y coste sin registrar."/>
    <s v=""/>
    <s v="Revisar"/>
    <n v="667"/>
    <s v="Stock/Incidencia"/>
  </r>
  <r>
    <s v="D-1034"/>
    <d v="2025-03-05T00:00:00"/>
    <x v="6"/>
    <x v="27"/>
    <s v="Tramadol"/>
    <n v="30"/>
    <s v="cápsulas"/>
    <n v="1.1499999999999999"/>
    <n v="34.5"/>
    <s v="Sanofi"/>
    <s v="TR40"/>
    <d v="2026-08-31T00:00:00"/>
    <s v="Marta Sánchez"/>
    <s v="Dolor moderado, vigilar somnolencia."/>
    <n v="34.5"/>
    <s v="OK"/>
    <n v="544"/>
    <s v="Seguimiento clínico"/>
  </r>
  <r>
    <s v="D-1035"/>
    <d v="2025-03-06T00:00:00"/>
    <x v="2"/>
    <x v="28"/>
    <s v="Heparina"/>
    <n v="20"/>
    <s v="viales"/>
    <n v="2.95"/>
    <n v="59"/>
    <s v="Pfizer"/>
    <s v="HP52"/>
    <d v="2026-05-31T00:00:00"/>
    <s v="Luis Gómez"/>
    <s v="Anticoagulación en terapia continua."/>
    <n v="59"/>
    <s v="OK"/>
    <n v="451"/>
    <s v="Seguimiento clínico"/>
  </r>
  <r>
    <s v="D-1036"/>
    <d v="2025-03-07T00:00:00"/>
    <x v="4"/>
    <x v="13"/>
    <s v="Filgrastim"/>
    <n v="8"/>
    <s v="jeringas"/>
    <n v="120"/>
    <n v="960"/>
    <s v="Pfizer"/>
    <s v="FG02"/>
    <d v="2026-01-31T00:00:00"/>
    <s v="Pedro Díaz"/>
    <s v="Segunda dosis del ciclo."/>
    <n v="960"/>
    <s v="OK"/>
    <n v="330"/>
    <s v="Seguimiento clínico"/>
  </r>
  <r>
    <s v="D-1037"/>
    <d v="2025-03-08T00:00:00"/>
    <x v="7"/>
    <x v="29"/>
    <s v="Tiotropio"/>
    <n v="14"/>
    <s v="inhaladores"/>
    <n v="5.0999999999999996"/>
    <n v="71.400000000000006"/>
    <s v="Kern Pharma"/>
    <s v="TT61"/>
    <d v="2027-04-30T00:00:00"/>
    <s v="Ana Ruiz"/>
    <s v="Mantenimiento de EPOC."/>
    <n v="71.399999999999991"/>
    <s v="OK"/>
    <n v="783"/>
    <s v="Seguimiento clínico"/>
  </r>
  <r>
    <s v="D-1038"/>
    <d v="2025-03-09T00:00:00"/>
    <x v="0"/>
    <x v="0"/>
    <s v="Enalapril"/>
    <n v="30"/>
    <s v="comprimidos"/>
    <n v="3.2"/>
    <n v="96"/>
    <s v="Kern Pharma"/>
    <s v="L23A"/>
    <d v="2026-08-31T00:00:00"/>
    <s v="Marta Sánchez"/>
    <s v="Renovación de tratamiento."/>
    <n v="96"/>
    <s v="OK"/>
    <n v="540"/>
    <s v="Seguimiento clínico"/>
  </r>
  <r>
    <s v="D-1039"/>
    <d v="2025-03-10T00:00:00"/>
    <x v="1"/>
    <x v="6"/>
    <s v="Metamizol"/>
    <n v="30"/>
    <s v="cápsulas"/>
    <n v="1.2"/>
    <n v="36"/>
    <s v="Normon"/>
    <s v="ME14"/>
    <d v="2027-04-30T00:00:00"/>
    <s v="Luis Gómez"/>
    <s v="Cólico renal, buena respuesta analgésica."/>
    <n v="36"/>
    <s v="OK"/>
    <n v="781"/>
    <s v="Seguimiento clínico"/>
  </r>
  <r>
    <s v="D-1040"/>
    <d v="2025-03-11T00:00:00"/>
    <x v="3"/>
    <x v="3"/>
    <s v="Amoxicilina"/>
    <n v="20"/>
    <s v="sobres"/>
    <n v="1.8"/>
    <n v="36"/>
    <s v="Kern Pharma"/>
    <s v="A77D"/>
    <d v="2026-11-30T00:00:00"/>
    <s v="Pedro Díaz"/>
    <s v="Otitis media aguda."/>
    <n v="36"/>
    <s v="OK"/>
    <n v="629"/>
    <s v="Seguimiento clínico"/>
  </r>
  <r>
    <s v="D-1041"/>
    <d v="2025-03-12T00:00:00"/>
    <x v="5"/>
    <x v="20"/>
    <s v="Metformina"/>
    <n v="90"/>
    <s v="comprimidos"/>
    <n v="0.7"/>
    <n v="63"/>
    <s v="Normon"/>
    <s v="MF12"/>
    <d v="2027-05-31T00:00:00"/>
    <s v="Ana Ruiz"/>
    <s v="Ajuste tras control de HbA1c."/>
    <n v="62.999999999999993"/>
    <s v="OK"/>
    <n v="810"/>
    <s v="Seguimiento clínico"/>
  </r>
  <r>
    <s v="D-1042"/>
    <d v="2025-03-13T00:00:00"/>
    <x v="4"/>
    <x v="23"/>
    <s v="Dexametasona"/>
    <n v="250"/>
    <s v="comprimidos"/>
    <n v="0.55000000000000004"/>
    <n v="137.5"/>
    <s v="Normon"/>
    <s v="DX07"/>
    <d v="2026-09-30T00:00:00"/>
    <s v="Marta Sánchez"/>
    <s v="Cantidad muy alta frente a lo habitual, confirmar pedido."/>
    <n v="137.5"/>
    <s v="Revisar"/>
    <n v="566"/>
    <s v="Stock/Incidencia"/>
  </r>
  <r>
    <s v="D-1043"/>
    <d v="2025-03-14T00:00:00"/>
    <x v="2"/>
    <x v="18"/>
    <s v="Propofol"/>
    <n v="20"/>
    <s v="viales"/>
    <n v="7.8"/>
    <n v="156"/>
    <s v="Pfizer"/>
    <s v="PF44"/>
    <d v="2026-05-31T00:00:00"/>
    <s v="Luis Gómez"/>
    <s v="Sedación prolongada."/>
    <n v="156"/>
    <s v="OK"/>
    <n v="443"/>
    <s v="Seguimiento clínico"/>
  </r>
  <r>
    <s v="D-1044"/>
    <d v="2025-03-15T00:00:00"/>
    <x v="6"/>
    <x v="27"/>
    <s v="Tramadol"/>
    <n v="30"/>
    <s v="cápsulas"/>
    <n v="1.1499999999999999"/>
    <n v="34.5"/>
    <s v="Sanofi"/>
    <s v="TR40"/>
    <d v="2026-08-31T00:00:00"/>
    <s v="Pedro Díaz"/>
    <s v="Alta con pauta descendente."/>
    <n v="34.5"/>
    <s v="OK"/>
    <n v="534"/>
    <s v="Seguimiento clínico"/>
  </r>
  <r>
    <s v="D-1045"/>
    <d v="2025-03-16T00:00:00"/>
    <x v="0"/>
    <x v="25"/>
    <s v="Atorvastatina"/>
    <n v="30"/>
    <s v="comprimidos"/>
    <n v="1.25"/>
    <n v="37.5"/>
    <s v="Normon"/>
    <s v="AT16"/>
    <d v="2026-12-31T00:00:00"/>
    <s v="Ana Ruiz"/>
    <s v="Sin incidencias."/>
    <n v="37.5"/>
    <s v="OK"/>
    <n v="655"/>
    <s v="Seguimiento clínico"/>
  </r>
  <r>
    <m/>
    <m/>
    <x v="8"/>
    <x v="30"/>
    <m/>
    <m/>
    <m/>
    <m/>
    <m/>
    <m/>
    <m/>
    <m/>
    <m/>
    <m/>
    <m/>
    <m/>
    <m/>
    <m/>
  </r>
  <r>
    <m/>
    <m/>
    <x v="8"/>
    <x v="30"/>
    <m/>
    <m/>
    <m/>
    <m/>
    <m/>
    <m/>
    <m/>
    <m/>
    <m/>
    <s v="Resumen de Observaciones (temas principales)"/>
    <m/>
    <m/>
    <m/>
    <m/>
  </r>
  <r>
    <m/>
    <m/>
    <x v="8"/>
    <x v="30"/>
    <m/>
    <m/>
    <m/>
    <m/>
    <m/>
    <m/>
    <m/>
    <m/>
    <m/>
    <s v="Tema"/>
    <s v="Casos"/>
    <m/>
    <m/>
    <m/>
  </r>
  <r>
    <m/>
    <m/>
    <x v="8"/>
    <x v="30"/>
    <m/>
    <m/>
    <m/>
    <m/>
    <m/>
    <m/>
    <m/>
    <m/>
    <m/>
    <s v="Reacciones adversas"/>
    <n v="2"/>
    <m/>
    <m/>
    <m/>
  </r>
  <r>
    <m/>
    <m/>
    <x v="8"/>
    <x v="30"/>
    <m/>
    <m/>
    <m/>
    <m/>
    <m/>
    <m/>
    <m/>
    <m/>
    <m/>
    <s v="Alergias"/>
    <n v="1"/>
    <m/>
    <m/>
    <m/>
  </r>
  <r>
    <m/>
    <m/>
    <x v="8"/>
    <x v="30"/>
    <m/>
    <m/>
    <m/>
    <m/>
    <m/>
    <m/>
    <m/>
    <m/>
    <m/>
    <s v="Estupefacientes"/>
    <n v="1"/>
    <m/>
    <m/>
    <m/>
  </r>
  <r>
    <m/>
    <m/>
    <x v="8"/>
    <x v="30"/>
    <m/>
    <m/>
    <m/>
    <m/>
    <m/>
    <m/>
    <m/>
    <m/>
    <m/>
    <s v="Incidencias de stock/registro"/>
    <n v="6"/>
    <m/>
    <m/>
    <m/>
  </r>
  <r>
    <m/>
    <m/>
    <x v="8"/>
    <x v="30"/>
    <m/>
    <m/>
    <m/>
    <m/>
    <m/>
    <m/>
    <m/>
    <m/>
    <m/>
    <s v="Seguimiento clínico rutinario"/>
    <n v="35"/>
    <m/>
    <m/>
    <m/>
  </r>
  <r>
    <m/>
    <m/>
    <x v="8"/>
    <x v="30"/>
    <m/>
    <m/>
    <m/>
    <m/>
    <m/>
    <m/>
    <m/>
    <m/>
    <m/>
    <s v="Total"/>
    <n v="4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C404C7-60ED-48F7-B1FD-270530373423}" name="ResumenServicio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S4:U13" firstHeaderRow="0" firstDataRow="1" firstDataCol="1"/>
  <pivotFields count="17">
    <pivotField dataField="1" showAll="0"/>
    <pivotField numFmtId="14" showAll="0"/>
    <pivotField axis="axisRow" showAll="0">
      <items count="9">
        <item x="0"/>
        <item x="5"/>
        <item x="7"/>
        <item x="4"/>
        <item x="3"/>
        <item x="6"/>
        <item x="2"/>
        <item x="1"/>
        <item t="default"/>
      </items>
    </pivotField>
    <pivotField showAll="0"/>
    <pivotField showAll="0"/>
    <pivotField showAll="0"/>
    <pivotField showAll="0"/>
    <pivotField numFmtId="164" showAll="0"/>
    <pivotField showAll="0"/>
    <pivotField showAll="0"/>
    <pivotField showAll="0"/>
    <pivotField numFmtId="14" showAll="0"/>
    <pivotField showAll="0"/>
    <pivotField showAll="0"/>
    <pivotField dataField="1" showAll="0"/>
    <pivotField numFmtId="1" showAll="0"/>
    <pivotField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Coste calculado (€)" fld="14" baseField="0" baseItem="0"/>
    <dataField name="Nº dispensacione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9FC662-EB69-4262-B6B7-8D16FC6CF8C7}" name="PivotPorMedicamento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G3:H35" firstHeaderRow="1" firstDataRow="1" firstDataCol="1"/>
  <pivotFields count="18">
    <pivotField showAll="0"/>
    <pivotField showAll="0"/>
    <pivotField showAll="0"/>
    <pivotField axis="axisRow" showAll="0">
      <items count="32">
        <item x="14"/>
        <item x="3"/>
        <item x="25"/>
        <item x="21"/>
        <item x="17"/>
        <item x="19"/>
        <item x="23"/>
        <item x="24"/>
        <item x="11"/>
        <item x="0"/>
        <item x="8"/>
        <item x="13"/>
        <item x="4"/>
        <item x="28"/>
        <item x="12"/>
        <item x="15"/>
        <item x="6"/>
        <item x="20"/>
        <item x="22"/>
        <item x="2"/>
        <item x="9"/>
        <item x="7"/>
        <item x="5"/>
        <item x="26"/>
        <item x="1"/>
        <item x="18"/>
        <item x="10"/>
        <item x="29"/>
        <item x="27"/>
        <item x="16"/>
        <item x="3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3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Items count="1">
    <i/>
  </colItems>
  <dataFields count="1">
    <dataField name="Suma de Coste calculado (€)" fld="14" baseField="3" baseItem="0"/>
  </dataField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B57E4A-E45D-4514-AE4F-D929DE4091D7}" name="PivotPorServicio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D3:E13" firstHeaderRow="1" firstDataRow="1" firstDataCol="1"/>
  <pivotFields count="18">
    <pivotField showAll="0"/>
    <pivotField showAll="0"/>
    <pivotField axis="axisRow" showAll="0">
      <items count="10">
        <item x="0"/>
        <item x="5"/>
        <item x="7"/>
        <item x="4"/>
        <item x="3"/>
        <item x="6"/>
        <item x="2"/>
        <item x="1"/>
        <item x="8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a de Coste total (€)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41CB5F-A367-4056-96A9-91023CA50248}" name="PivotCosteServicioMedicamento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45" firstHeaderRow="1" firstDataRow="1" firstDataCol="1"/>
  <pivotFields count="18">
    <pivotField showAll="0"/>
    <pivotField showAll="0"/>
    <pivotField axis="axisRow" showAll="0">
      <items count="10">
        <item x="0"/>
        <item x="5"/>
        <item x="7"/>
        <item x="4"/>
        <item x="3"/>
        <item x="6"/>
        <item x="2"/>
        <item x="1"/>
        <item x="8"/>
        <item t="default"/>
      </items>
    </pivotField>
    <pivotField axis="axisRow" showAll="0">
      <items count="32">
        <item x="14"/>
        <item x="3"/>
        <item x="25"/>
        <item x="21"/>
        <item x="17"/>
        <item x="19"/>
        <item x="23"/>
        <item x="24"/>
        <item x="11"/>
        <item x="0"/>
        <item x="8"/>
        <item x="13"/>
        <item x="4"/>
        <item x="28"/>
        <item x="12"/>
        <item x="15"/>
        <item x="6"/>
        <item x="20"/>
        <item x="22"/>
        <item x="2"/>
        <item x="9"/>
        <item x="7"/>
        <item x="5"/>
        <item x="26"/>
        <item x="1"/>
        <item x="18"/>
        <item x="10"/>
        <item x="29"/>
        <item x="27"/>
        <item x="16"/>
        <item x="3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42">
    <i>
      <x/>
    </i>
    <i r="1">
      <x v="2"/>
    </i>
    <i r="1">
      <x v="3"/>
    </i>
    <i r="1">
      <x v="8"/>
    </i>
    <i r="1">
      <x v="9"/>
    </i>
    <i r="1">
      <x v="12"/>
    </i>
    <i r="1">
      <x v="29"/>
    </i>
    <i>
      <x v="1"/>
    </i>
    <i r="1">
      <x v="15"/>
    </i>
    <i r="1">
      <x v="17"/>
    </i>
    <i r="1">
      <x v="21"/>
    </i>
    <i>
      <x v="2"/>
    </i>
    <i r="1">
      <x v="4"/>
    </i>
    <i r="1">
      <x v="26"/>
    </i>
    <i r="1">
      <x v="27"/>
    </i>
    <i>
      <x v="3"/>
    </i>
    <i r="1">
      <x v="6"/>
    </i>
    <i r="1">
      <x v="11"/>
    </i>
    <i r="1">
      <x v="22"/>
    </i>
    <i>
      <x v="4"/>
    </i>
    <i r="1">
      <x v="1"/>
    </i>
    <i r="1">
      <x v="14"/>
    </i>
    <i r="1">
      <x v="23"/>
    </i>
    <i>
      <x v="5"/>
    </i>
    <i r="1">
      <x v="10"/>
    </i>
    <i r="1">
      <x v="24"/>
    </i>
    <i r="1">
      <x v="28"/>
    </i>
    <i>
      <x v="6"/>
    </i>
    <i r="1">
      <x v="13"/>
    </i>
    <i r="1">
      <x v="18"/>
    </i>
    <i r="1">
      <x v="19"/>
    </i>
    <i r="1">
      <x v="20"/>
    </i>
    <i r="1">
      <x v="25"/>
    </i>
    <i>
      <x v="7"/>
    </i>
    <i r="1">
      <x/>
    </i>
    <i r="1">
      <x v="5"/>
    </i>
    <i r="1">
      <x v="7"/>
    </i>
    <i r="1">
      <x v="16"/>
    </i>
    <i r="1">
      <x v="24"/>
    </i>
    <i>
      <x v="8"/>
    </i>
    <i r="1">
      <x v="30"/>
    </i>
    <i t="grand">
      <x/>
    </i>
  </rowItems>
  <colItems count="1">
    <i/>
  </colItems>
  <dataFields count="1">
    <dataField name="Suma de Coste total (€)" fld="8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63BE1A-4A19-4B16-963D-E96CFB03DF36}" name="TablaFarmaceuticos" displayName="TablaFarmaceuticos" ref="A1:A7" totalsRowShown="0" headerRowDxfId="3">
  <autoFilter ref="A1:A7" xr:uid="{FF63BE1A-4A19-4B16-963D-E96CFB03DF36}"/>
  <tableColumns count="1">
    <tableColumn id="1" xr3:uid="{DEA7309F-C7EF-41E2-9803-7CF77F8772F4}" name="Farmacéutic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44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24F1BED-EB2A-43B9-B403-349AC61DE400}">
  <we:reference id="wa200009404" version="1.0.0.8" store="es-ES" storeType="OMEX"/>
  <we:alternateReferences>
    <we:reference id="WA200009404" version="1.0.0.8" store="WA200009404" storeType="OMEX"/>
  </we:alternateReferences>
  <we:properties>
    <we:property name="claude.fileId" value="&quot;faf14485-5e12-42fc-a4d0-074bf67a580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D92A-039F-44AC-8B08-1FE3BE37E0DB}">
  <dimension ref="A1:A7"/>
  <sheetViews>
    <sheetView workbookViewId="0">
      <selection activeCell="C6" sqref="C6"/>
    </sheetView>
  </sheetViews>
  <sheetFormatPr baseColWidth="10" defaultRowHeight="15" x14ac:dyDescent="0.25"/>
  <cols>
    <col min="1" max="1" width="15.42578125" bestFit="1" customWidth="1"/>
  </cols>
  <sheetData>
    <row r="1" spans="1:1" x14ac:dyDescent="0.25">
      <c r="A1" s="33" t="s">
        <v>12</v>
      </c>
    </row>
    <row r="2" spans="1:1" x14ac:dyDescent="0.25">
      <c r="A2" t="s">
        <v>21</v>
      </c>
    </row>
    <row r="3" spans="1:1" x14ac:dyDescent="0.25">
      <c r="A3" t="s">
        <v>29</v>
      </c>
    </row>
    <row r="4" spans="1:1" x14ac:dyDescent="0.25">
      <c r="A4" t="s">
        <v>38</v>
      </c>
    </row>
    <row r="5" spans="1:1" x14ac:dyDescent="0.25">
      <c r="A5" t="s">
        <v>46</v>
      </c>
    </row>
    <row r="6" spans="1:1" x14ac:dyDescent="0.25">
      <c r="A6" t="s">
        <v>345</v>
      </c>
    </row>
    <row r="7" spans="1:1" x14ac:dyDescent="0.25">
      <c r="A7" t="s">
        <v>346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2D75-B24E-4165-B8EA-64D5F05D23AA}">
  <dimension ref="A1:G37"/>
  <sheetViews>
    <sheetView workbookViewId="0">
      <selection activeCell="A33" sqref="A33:XFD33"/>
    </sheetView>
  </sheetViews>
  <sheetFormatPr baseColWidth="10" defaultRowHeight="15" x14ac:dyDescent="0.25"/>
  <cols>
    <col min="1" max="1" width="82.28515625" bestFit="1" customWidth="1"/>
    <col min="2" max="2" width="67.42578125" bestFit="1" customWidth="1"/>
    <col min="3" max="3" width="55.5703125" bestFit="1" customWidth="1"/>
    <col min="4" max="4" width="18.85546875" bestFit="1" customWidth="1"/>
    <col min="5" max="5" width="38.85546875" bestFit="1" customWidth="1"/>
    <col min="6" max="6" width="13.7109375" bestFit="1" customWidth="1"/>
    <col min="7" max="7" width="23.85546875" bestFit="1" customWidth="1"/>
  </cols>
  <sheetData>
    <row r="1" spans="1:7" x14ac:dyDescent="0.25">
      <c r="A1" s="35" t="s">
        <v>265</v>
      </c>
      <c r="B1" s="35" t="s">
        <v>266</v>
      </c>
      <c r="C1" s="35" t="s">
        <v>267</v>
      </c>
      <c r="D1" s="35" t="s">
        <v>268</v>
      </c>
      <c r="E1" s="35" t="s">
        <v>269</v>
      </c>
      <c r="F1" s="35" t="s">
        <v>270</v>
      </c>
      <c r="G1" s="35" t="s">
        <v>271</v>
      </c>
    </row>
    <row r="2" spans="1:7" x14ac:dyDescent="0.25">
      <c r="A2" s="36" t="s">
        <v>67</v>
      </c>
      <c r="B2" s="36" t="s">
        <v>272</v>
      </c>
      <c r="C2" s="36" t="s">
        <v>273</v>
      </c>
      <c r="D2" s="36" t="s">
        <v>274</v>
      </c>
      <c r="E2" s="36" t="s">
        <v>275</v>
      </c>
      <c r="F2" s="36" t="s">
        <v>276</v>
      </c>
      <c r="G2" s="36" t="s">
        <v>277</v>
      </c>
    </row>
    <row r="3" spans="1:7" x14ac:dyDescent="0.25">
      <c r="A3" s="36" t="s">
        <v>23</v>
      </c>
      <c r="B3" s="36">
        <v>3</v>
      </c>
      <c r="C3" s="36" t="s">
        <v>278</v>
      </c>
      <c r="D3" s="36" t="s">
        <v>2</v>
      </c>
      <c r="E3" s="36" t="s">
        <v>24</v>
      </c>
      <c r="F3" s="36" t="s">
        <v>260</v>
      </c>
      <c r="G3" s="36" t="s">
        <v>279</v>
      </c>
    </row>
    <row r="4" spans="1:7" x14ac:dyDescent="0.25">
      <c r="A4" s="36" t="s">
        <v>48</v>
      </c>
      <c r="B4" s="36">
        <v>6</v>
      </c>
      <c r="C4" s="36" t="s">
        <v>278</v>
      </c>
      <c r="D4" s="36" t="s">
        <v>2</v>
      </c>
      <c r="E4" s="36" t="s">
        <v>49</v>
      </c>
      <c r="F4" s="36" t="s">
        <v>15</v>
      </c>
      <c r="G4" s="36" t="s">
        <v>279</v>
      </c>
    </row>
    <row r="5" spans="1:7" x14ac:dyDescent="0.25">
      <c r="A5" s="36" t="s">
        <v>48</v>
      </c>
      <c r="B5" s="36">
        <v>6</v>
      </c>
      <c r="C5" s="36" t="s">
        <v>280</v>
      </c>
      <c r="D5" s="36" t="s">
        <v>12</v>
      </c>
      <c r="E5" s="36" t="s">
        <v>53</v>
      </c>
      <c r="F5" s="36" t="s">
        <v>21</v>
      </c>
      <c r="G5" s="36" t="s">
        <v>279</v>
      </c>
    </row>
    <row r="6" spans="1:7" x14ac:dyDescent="0.25">
      <c r="A6" s="36" t="s">
        <v>48</v>
      </c>
      <c r="B6" s="36">
        <v>6</v>
      </c>
      <c r="C6" s="36" t="s">
        <v>281</v>
      </c>
      <c r="D6" s="36" t="s">
        <v>7</v>
      </c>
      <c r="E6" s="36" t="s">
        <v>282</v>
      </c>
      <c r="F6" s="36">
        <v>0.95</v>
      </c>
      <c r="G6" s="36" t="s">
        <v>283</v>
      </c>
    </row>
    <row r="7" spans="1:7" x14ac:dyDescent="0.25">
      <c r="A7" s="36" t="s">
        <v>55</v>
      </c>
      <c r="B7" s="36">
        <v>7</v>
      </c>
      <c r="C7" s="36" t="s">
        <v>284</v>
      </c>
      <c r="D7" s="36" t="s">
        <v>1</v>
      </c>
      <c r="E7" s="36" t="s">
        <v>285</v>
      </c>
      <c r="F7" s="39" t="s">
        <v>226</v>
      </c>
      <c r="G7" s="36" t="s">
        <v>286</v>
      </c>
    </row>
    <row r="8" spans="1:7" x14ac:dyDescent="0.25">
      <c r="A8" s="36" t="s">
        <v>61</v>
      </c>
      <c r="B8" s="36">
        <v>8</v>
      </c>
      <c r="C8" s="36" t="s">
        <v>278</v>
      </c>
      <c r="D8" s="36" t="s">
        <v>2</v>
      </c>
      <c r="E8" s="36" t="s">
        <v>287</v>
      </c>
      <c r="F8" s="36" t="s">
        <v>260</v>
      </c>
      <c r="G8" s="36" t="s">
        <v>279</v>
      </c>
    </row>
    <row r="9" spans="1:7" x14ac:dyDescent="0.25">
      <c r="A9" s="36" t="s">
        <v>61</v>
      </c>
      <c r="B9" s="36">
        <v>8</v>
      </c>
      <c r="C9" s="36" t="s">
        <v>288</v>
      </c>
      <c r="D9" s="36" t="s">
        <v>5</v>
      </c>
      <c r="E9" s="36" t="s">
        <v>289</v>
      </c>
      <c r="F9" s="36">
        <v>30</v>
      </c>
      <c r="G9" s="36" t="s">
        <v>283</v>
      </c>
    </row>
    <row r="10" spans="1:7" x14ac:dyDescent="0.25">
      <c r="A10" s="36" t="s">
        <v>80</v>
      </c>
      <c r="B10" s="36">
        <v>11</v>
      </c>
      <c r="C10" s="36" t="s">
        <v>278</v>
      </c>
      <c r="D10" s="36" t="s">
        <v>2</v>
      </c>
      <c r="E10" s="36" t="s">
        <v>81</v>
      </c>
      <c r="F10" s="36" t="s">
        <v>32</v>
      </c>
      <c r="G10" s="36" t="s">
        <v>279</v>
      </c>
    </row>
    <row r="11" spans="1:7" x14ac:dyDescent="0.25">
      <c r="A11" s="36" t="s">
        <v>80</v>
      </c>
      <c r="B11" s="36">
        <v>11</v>
      </c>
      <c r="C11" s="36" t="s">
        <v>284</v>
      </c>
      <c r="D11" s="36" t="s">
        <v>1</v>
      </c>
      <c r="E11" s="36" t="s">
        <v>290</v>
      </c>
      <c r="F11" s="39" t="s">
        <v>330</v>
      </c>
      <c r="G11" s="36" t="s">
        <v>286</v>
      </c>
    </row>
    <row r="12" spans="1:7" x14ac:dyDescent="0.25">
      <c r="A12" s="36" t="s">
        <v>99</v>
      </c>
      <c r="B12" s="36">
        <v>14</v>
      </c>
      <c r="C12" s="36" t="s">
        <v>278</v>
      </c>
      <c r="D12" s="36" t="s">
        <v>2</v>
      </c>
      <c r="E12" s="36" t="s">
        <v>100</v>
      </c>
      <c r="F12" s="36" t="s">
        <v>41</v>
      </c>
      <c r="G12" s="36" t="s">
        <v>279</v>
      </c>
    </row>
    <row r="13" spans="1:7" x14ac:dyDescent="0.25">
      <c r="A13" s="36" t="s">
        <v>111</v>
      </c>
      <c r="B13" s="36">
        <v>16</v>
      </c>
      <c r="C13" s="36" t="s">
        <v>278</v>
      </c>
      <c r="D13" s="36" t="s">
        <v>2</v>
      </c>
      <c r="E13" s="36" t="s">
        <v>112</v>
      </c>
      <c r="F13" s="36" t="s">
        <v>260</v>
      </c>
      <c r="G13" s="36" t="s">
        <v>279</v>
      </c>
    </row>
    <row r="14" spans="1:7" x14ac:dyDescent="0.25">
      <c r="A14" s="36" t="s">
        <v>123</v>
      </c>
      <c r="B14" s="36">
        <v>18</v>
      </c>
      <c r="C14" s="36" t="s">
        <v>284</v>
      </c>
      <c r="D14" s="36" t="s">
        <v>1</v>
      </c>
      <c r="E14" s="36" t="s">
        <v>291</v>
      </c>
      <c r="F14" s="36" t="s">
        <v>126</v>
      </c>
      <c r="G14" s="36" t="s">
        <v>286</v>
      </c>
    </row>
    <row r="15" spans="1:7" x14ac:dyDescent="0.25">
      <c r="A15" s="36" t="s">
        <v>125</v>
      </c>
      <c r="B15" s="36">
        <v>19</v>
      </c>
      <c r="C15" s="36" t="s">
        <v>284</v>
      </c>
      <c r="D15" s="36" t="s">
        <v>1</v>
      </c>
      <c r="E15" s="36" t="s">
        <v>292</v>
      </c>
      <c r="F15" s="36" t="s">
        <v>126</v>
      </c>
      <c r="G15" s="36" t="s">
        <v>286</v>
      </c>
    </row>
    <row r="16" spans="1:7" x14ac:dyDescent="0.25">
      <c r="A16" s="36" t="s">
        <v>136</v>
      </c>
      <c r="B16" s="36">
        <v>21</v>
      </c>
      <c r="C16" s="36" t="s">
        <v>288</v>
      </c>
      <c r="D16" s="36" t="s">
        <v>5</v>
      </c>
      <c r="E16" s="36" t="s">
        <v>293</v>
      </c>
      <c r="F16" s="36">
        <v>15</v>
      </c>
      <c r="G16" s="36" t="s">
        <v>283</v>
      </c>
    </row>
    <row r="17" spans="1:7" x14ac:dyDescent="0.25">
      <c r="A17" s="36" t="s">
        <v>144</v>
      </c>
      <c r="B17" s="36">
        <v>23</v>
      </c>
      <c r="C17" s="36" t="s">
        <v>278</v>
      </c>
      <c r="D17" s="36" t="s">
        <v>2</v>
      </c>
      <c r="E17" s="36" t="s">
        <v>24</v>
      </c>
      <c r="F17" s="36" t="s">
        <v>260</v>
      </c>
      <c r="G17" s="36" t="s">
        <v>279</v>
      </c>
    </row>
    <row r="18" spans="1:7" x14ac:dyDescent="0.25">
      <c r="A18" s="36" t="s">
        <v>151</v>
      </c>
      <c r="B18" s="36">
        <v>25</v>
      </c>
      <c r="C18" s="36" t="s">
        <v>281</v>
      </c>
      <c r="D18" s="36" t="s">
        <v>7</v>
      </c>
      <c r="E18" s="36" t="s">
        <v>294</v>
      </c>
      <c r="F18" s="36">
        <v>1.05</v>
      </c>
      <c r="G18" s="36" t="s">
        <v>283</v>
      </c>
    </row>
    <row r="19" spans="1:7" x14ac:dyDescent="0.25">
      <c r="A19" s="36" t="s">
        <v>156</v>
      </c>
      <c r="B19" s="36">
        <v>26</v>
      </c>
      <c r="C19" s="36" t="s">
        <v>281</v>
      </c>
      <c r="D19" s="36" t="s">
        <v>7</v>
      </c>
      <c r="E19" s="36" t="s">
        <v>294</v>
      </c>
      <c r="F19" s="36">
        <v>1.05</v>
      </c>
      <c r="G19" s="36" t="s">
        <v>283</v>
      </c>
    </row>
    <row r="20" spans="1:7" x14ac:dyDescent="0.25">
      <c r="A20" s="36" t="s">
        <v>156</v>
      </c>
      <c r="B20" s="36">
        <v>26</v>
      </c>
      <c r="C20" s="36" t="s">
        <v>280</v>
      </c>
      <c r="D20" s="36" t="s">
        <v>12</v>
      </c>
      <c r="E20" s="36" t="s">
        <v>160</v>
      </c>
      <c r="F20" s="36" t="s">
        <v>21</v>
      </c>
      <c r="G20" s="36" t="s">
        <v>279</v>
      </c>
    </row>
    <row r="21" spans="1:7" x14ac:dyDescent="0.25">
      <c r="A21" s="36" t="s">
        <v>171</v>
      </c>
      <c r="B21" s="36">
        <v>30</v>
      </c>
      <c r="C21" s="36" t="s">
        <v>284</v>
      </c>
      <c r="D21" s="36" t="s">
        <v>1</v>
      </c>
      <c r="E21" s="36" t="s">
        <v>295</v>
      </c>
      <c r="F21" s="39" t="s">
        <v>227</v>
      </c>
      <c r="G21" s="36" t="s">
        <v>286</v>
      </c>
    </row>
    <row r="22" spans="1:7" x14ac:dyDescent="0.25">
      <c r="A22" s="36" t="s">
        <v>176</v>
      </c>
      <c r="B22" s="36">
        <v>31</v>
      </c>
      <c r="C22" s="36" t="s">
        <v>278</v>
      </c>
      <c r="D22" s="36" t="s">
        <v>2</v>
      </c>
      <c r="E22" s="36" t="s">
        <v>296</v>
      </c>
      <c r="F22" s="36" t="s">
        <v>260</v>
      </c>
      <c r="G22" s="36" t="s">
        <v>279</v>
      </c>
    </row>
    <row r="23" spans="1:7" x14ac:dyDescent="0.25">
      <c r="A23" s="36" t="s">
        <v>209</v>
      </c>
      <c r="B23" s="36">
        <v>39</v>
      </c>
      <c r="C23" s="36" t="s">
        <v>278</v>
      </c>
      <c r="D23" s="36" t="s">
        <v>2</v>
      </c>
      <c r="E23" s="36" t="s">
        <v>210</v>
      </c>
      <c r="F23" s="36" t="s">
        <v>15</v>
      </c>
      <c r="G23" s="36" t="s">
        <v>279</v>
      </c>
    </row>
    <row r="24" spans="1:7" x14ac:dyDescent="0.25">
      <c r="A24" s="36" t="s">
        <v>212</v>
      </c>
      <c r="B24" s="36">
        <v>40</v>
      </c>
      <c r="C24" s="36" t="s">
        <v>278</v>
      </c>
      <c r="D24" s="36" t="s">
        <v>2</v>
      </c>
      <c r="E24" s="36" t="s">
        <v>24</v>
      </c>
      <c r="F24" s="36" t="s">
        <v>260</v>
      </c>
      <c r="G24" s="36" t="s">
        <v>279</v>
      </c>
    </row>
    <row r="25" spans="1:7" x14ac:dyDescent="0.25">
      <c r="A25" s="36" t="s">
        <v>224</v>
      </c>
      <c r="B25" s="36">
        <v>46</v>
      </c>
      <c r="C25" s="36" t="s">
        <v>280</v>
      </c>
      <c r="D25" s="36" t="s">
        <v>12</v>
      </c>
      <c r="E25" s="36" t="s">
        <v>53</v>
      </c>
      <c r="F25" s="36" t="s">
        <v>21</v>
      </c>
      <c r="G25" s="36" t="s">
        <v>279</v>
      </c>
    </row>
    <row r="26" spans="1:7" x14ac:dyDescent="0.25">
      <c r="A26" s="37" t="s">
        <v>297</v>
      </c>
    </row>
    <row r="27" spans="1:7" x14ac:dyDescent="0.25">
      <c r="A27" s="38" t="s">
        <v>298</v>
      </c>
      <c r="B27" s="38" t="s">
        <v>299</v>
      </c>
      <c r="C27" s="38" t="s">
        <v>300</v>
      </c>
    </row>
    <row r="28" spans="1:7" x14ac:dyDescent="0.25">
      <c r="A28" s="38" t="s">
        <v>301</v>
      </c>
      <c r="B28" s="38" t="s">
        <v>302</v>
      </c>
      <c r="C28" s="38" t="s">
        <v>303</v>
      </c>
    </row>
    <row r="29" spans="1:7" x14ac:dyDescent="0.25">
      <c r="A29" s="38" t="s">
        <v>304</v>
      </c>
      <c r="B29" s="38" t="s">
        <v>305</v>
      </c>
      <c r="C29" s="38" t="s">
        <v>306</v>
      </c>
    </row>
    <row r="30" spans="1:7" x14ac:dyDescent="0.25">
      <c r="A30" s="38" t="s">
        <v>307</v>
      </c>
      <c r="B30" s="38" t="s">
        <v>308</v>
      </c>
      <c r="C30" s="38" t="s">
        <v>309</v>
      </c>
    </row>
    <row r="31" spans="1:7" x14ac:dyDescent="0.25">
      <c r="A31" s="38" t="s">
        <v>310</v>
      </c>
      <c r="B31" s="38" t="s">
        <v>311</v>
      </c>
      <c r="C31" s="38" t="s">
        <v>312</v>
      </c>
    </row>
    <row r="32" spans="1:7" x14ac:dyDescent="0.25">
      <c r="A32" s="38" t="s">
        <v>313</v>
      </c>
      <c r="B32" s="38" t="s">
        <v>314</v>
      </c>
      <c r="C32" s="38" t="s">
        <v>315</v>
      </c>
    </row>
    <row r="33" spans="1:3" x14ac:dyDescent="0.25">
      <c r="A33" s="38" t="s">
        <v>316</v>
      </c>
      <c r="B33" s="38" t="s">
        <v>317</v>
      </c>
      <c r="C33" s="38" t="s">
        <v>318</v>
      </c>
    </row>
    <row r="34" spans="1:3" x14ac:dyDescent="0.25">
      <c r="A34" s="38" t="s">
        <v>319</v>
      </c>
      <c r="B34" s="38" t="s">
        <v>320</v>
      </c>
      <c r="C34" s="38" t="s">
        <v>321</v>
      </c>
    </row>
    <row r="35" spans="1:3" x14ac:dyDescent="0.25">
      <c r="A35" s="38" t="s">
        <v>322</v>
      </c>
      <c r="B35" s="38" t="s">
        <v>323</v>
      </c>
      <c r="C35" s="38" t="s">
        <v>324</v>
      </c>
    </row>
    <row r="36" spans="1:3" x14ac:dyDescent="0.25">
      <c r="A36" s="38" t="s">
        <v>325</v>
      </c>
      <c r="B36" s="38" t="s">
        <v>326</v>
      </c>
      <c r="C36" s="38" t="s">
        <v>327</v>
      </c>
    </row>
    <row r="37" spans="1:3" x14ac:dyDescent="0.25">
      <c r="A37" s="38" t="s">
        <v>328</v>
      </c>
      <c r="B37" s="38" t="s">
        <v>329</v>
      </c>
      <c r="C37" s="38" t="s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9A41-12AD-478A-B8A4-674B2CCA0F94}">
  <dimension ref="A1:R55"/>
  <sheetViews>
    <sheetView workbookViewId="0">
      <pane ySplit="1" topLeftCell="A2" activePane="bottomLeft" state="frozen"/>
      <selection pane="bottomLeft" activeCell="C2" sqref="C2:C51"/>
    </sheetView>
  </sheetViews>
  <sheetFormatPr baseColWidth="10" defaultRowHeight="15" x14ac:dyDescent="0.25"/>
  <cols>
    <col min="1" max="1" width="13.28515625" customWidth="1"/>
    <col min="2" max="2" width="24.7109375" style="31" customWidth="1"/>
    <col min="3" max="3" width="25.7109375" customWidth="1"/>
    <col min="4" max="4" width="32.42578125" customWidth="1"/>
    <col min="5" max="5" width="22.85546875" customWidth="1"/>
    <col min="6" max="6" width="14.28515625" customWidth="1"/>
    <col min="7" max="7" width="20" customWidth="1"/>
    <col min="8" max="8" width="22.85546875" customWidth="1"/>
    <col min="9" max="9" width="20" customWidth="1"/>
    <col min="10" max="10" width="21" customWidth="1"/>
    <col min="11" max="11" width="13.28515625" customWidth="1"/>
    <col min="12" max="13" width="22.85546875" customWidth="1"/>
    <col min="14" max="14" width="64.7109375" customWidth="1"/>
  </cols>
  <sheetData>
    <row r="1" spans="1:18" x14ac:dyDescent="0.25">
      <c r="A1" s="1" t="s">
        <v>0</v>
      </c>
      <c r="B1" s="4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6" t="s">
        <v>257</v>
      </c>
      <c r="P1" s="27" t="s">
        <v>259</v>
      </c>
      <c r="Q1" s="41" t="s">
        <v>258</v>
      </c>
      <c r="R1" s="41" t="s">
        <v>331</v>
      </c>
    </row>
    <row r="2" spans="1:18" x14ac:dyDescent="0.25">
      <c r="A2" s="2" t="s">
        <v>14</v>
      </c>
      <c r="B2" s="3">
        <v>45691</v>
      </c>
      <c r="C2" s="2" t="s">
        <v>15</v>
      </c>
      <c r="D2" s="2" t="s">
        <v>16</v>
      </c>
      <c r="E2" s="2" t="s">
        <v>17</v>
      </c>
      <c r="F2" s="4">
        <v>30</v>
      </c>
      <c r="G2" s="2" t="s">
        <v>18</v>
      </c>
      <c r="H2" s="5">
        <v>3.2</v>
      </c>
      <c r="I2" s="5">
        <v>96</v>
      </c>
      <c r="J2" s="2" t="s">
        <v>19</v>
      </c>
      <c r="K2" s="2" t="s">
        <v>20</v>
      </c>
      <c r="L2" s="3">
        <v>46265</v>
      </c>
      <c r="M2" s="2" t="s">
        <v>21</v>
      </c>
      <c r="N2" s="2" t="s">
        <v>22</v>
      </c>
      <c r="O2" s="29">
        <f>IF(F2="","",F2*H2)</f>
        <v>96</v>
      </c>
      <c r="P2" s="30" t="str">
        <f>IF(OR(F2="",I2="",J2="",F2&lt;0,F2&gt;100,H2&gt;500,AND(ISNUMBER(L2),ISNUMBER(B2),L2&lt;B2),ABS(N(I2)-N(O2))&gt;0.01),"Revisar","OK")</f>
        <v>OK</v>
      </c>
      <c r="Q2" s="42">
        <f>IF(AND(ISNUMBER(L2),ISNUMBER(B2)),L2-B2,"")</f>
        <v>574</v>
      </c>
      <c r="R2" s="2" t="s">
        <v>332</v>
      </c>
    </row>
    <row r="3" spans="1:18" x14ac:dyDescent="0.25">
      <c r="A3" s="2" t="s">
        <v>23</v>
      </c>
      <c r="B3" s="3">
        <v>45718</v>
      </c>
      <c r="C3" s="2" t="s">
        <v>260</v>
      </c>
      <c r="D3" s="2" t="s">
        <v>25</v>
      </c>
      <c r="E3" s="2" t="s">
        <v>26</v>
      </c>
      <c r="F3" s="4">
        <v>50</v>
      </c>
      <c r="G3" s="2" t="s">
        <v>18</v>
      </c>
      <c r="H3" s="5">
        <v>2.1</v>
      </c>
      <c r="I3" s="5">
        <v>105</v>
      </c>
      <c r="J3" s="2" t="s">
        <v>27</v>
      </c>
      <c r="K3" s="2" t="s">
        <v>28</v>
      </c>
      <c r="L3" s="3">
        <v>46418</v>
      </c>
      <c r="M3" s="2" t="s">
        <v>29</v>
      </c>
      <c r="N3" s="2" t="s">
        <v>30</v>
      </c>
      <c r="O3" s="29">
        <f t="shared" ref="O3:O46" si="0">IF(F3="","",F3*H3)</f>
        <v>105</v>
      </c>
      <c r="P3" s="30" t="str">
        <f t="shared" ref="P3:P46" si="1">IF(OR(F3="",I3="",J3="",F3&lt;0,F3&gt;100,H3&gt;500,AND(ISNUMBER(L3),ISNUMBER(B3),L3&lt;B3),ABS(N(I3)-N(O3))&gt;0.01),"Revisar","OK")</f>
        <v>OK</v>
      </c>
      <c r="Q3" s="42">
        <f t="shared" ref="Q3:Q46" si="2">IF(AND(ISNUMBER(L3),ISNUMBER(B3)),L3-B3,"")</f>
        <v>700</v>
      </c>
      <c r="R3" s="2" t="s">
        <v>332</v>
      </c>
    </row>
    <row r="4" spans="1:18" x14ac:dyDescent="0.25">
      <c r="A4" s="2" t="s">
        <v>31</v>
      </c>
      <c r="B4" s="3">
        <v>45692</v>
      </c>
      <c r="C4" s="2" t="s">
        <v>32</v>
      </c>
      <c r="D4" s="2" t="s">
        <v>33</v>
      </c>
      <c r="E4" s="2" t="s">
        <v>34</v>
      </c>
      <c r="F4" s="4">
        <v>10</v>
      </c>
      <c r="G4" s="2" t="s">
        <v>35</v>
      </c>
      <c r="H4" s="5">
        <v>4.5</v>
      </c>
      <c r="I4" s="5">
        <v>45</v>
      </c>
      <c r="J4" s="2" t="s">
        <v>36</v>
      </c>
      <c r="K4" s="2" t="s">
        <v>37</v>
      </c>
      <c r="L4" s="3">
        <v>46172</v>
      </c>
      <c r="M4" s="2" t="s">
        <v>38</v>
      </c>
      <c r="N4" s="2" t="s">
        <v>39</v>
      </c>
      <c r="O4" s="29">
        <f t="shared" si="0"/>
        <v>45</v>
      </c>
      <c r="P4" s="30" t="str">
        <f t="shared" si="1"/>
        <v>OK</v>
      </c>
      <c r="Q4" s="42">
        <f t="shared" si="2"/>
        <v>480</v>
      </c>
      <c r="R4" s="2" t="s">
        <v>333</v>
      </c>
    </row>
    <row r="5" spans="1:18" x14ac:dyDescent="0.25">
      <c r="A5" s="2" t="s">
        <v>40</v>
      </c>
      <c r="B5" s="3">
        <v>45693</v>
      </c>
      <c r="C5" s="2" t="s">
        <v>41</v>
      </c>
      <c r="D5" s="2" t="s">
        <v>42</v>
      </c>
      <c r="E5" s="2" t="s">
        <v>43</v>
      </c>
      <c r="F5" s="4">
        <v>20</v>
      </c>
      <c r="G5" s="2" t="s">
        <v>44</v>
      </c>
      <c r="H5" s="5">
        <v>1.8</v>
      </c>
      <c r="I5" s="5">
        <v>36</v>
      </c>
      <c r="J5" s="2" t="s">
        <v>19</v>
      </c>
      <c r="K5" s="2" t="s">
        <v>45</v>
      </c>
      <c r="L5" s="3">
        <v>46356</v>
      </c>
      <c r="M5" s="2" t="s">
        <v>46</v>
      </c>
      <c r="N5" s="2" t="s">
        <v>47</v>
      </c>
      <c r="O5" s="29">
        <f t="shared" si="0"/>
        <v>36</v>
      </c>
      <c r="P5" s="30" t="str">
        <f t="shared" si="1"/>
        <v>OK</v>
      </c>
      <c r="Q5" s="42">
        <f t="shared" si="2"/>
        <v>663</v>
      </c>
      <c r="R5" s="2" t="s">
        <v>334</v>
      </c>
    </row>
    <row r="6" spans="1:18" x14ac:dyDescent="0.25">
      <c r="A6" s="2" t="s">
        <v>48</v>
      </c>
      <c r="B6" s="3">
        <v>45693</v>
      </c>
      <c r="C6" s="2" t="s">
        <v>15</v>
      </c>
      <c r="D6" s="2" t="s">
        <v>50</v>
      </c>
      <c r="E6" s="2" t="s">
        <v>51</v>
      </c>
      <c r="F6" s="4">
        <v>40</v>
      </c>
      <c r="G6" s="2" t="s">
        <v>18</v>
      </c>
      <c r="H6" s="5">
        <v>0.95</v>
      </c>
      <c r="I6" s="5">
        <v>38</v>
      </c>
      <c r="J6" s="2" t="s">
        <v>27</v>
      </c>
      <c r="K6" s="2" t="s">
        <v>52</v>
      </c>
      <c r="L6" s="3">
        <v>46295</v>
      </c>
      <c r="M6" s="2" t="s">
        <v>21</v>
      </c>
      <c r="N6" s="2" t="s">
        <v>54</v>
      </c>
      <c r="O6" s="29">
        <f t="shared" si="0"/>
        <v>38</v>
      </c>
      <c r="P6" s="30" t="str">
        <f t="shared" si="1"/>
        <v>OK</v>
      </c>
      <c r="Q6" s="42">
        <f t="shared" si="2"/>
        <v>602</v>
      </c>
      <c r="R6" s="2" t="s">
        <v>332</v>
      </c>
    </row>
    <row r="7" spans="1:18" x14ac:dyDescent="0.25">
      <c r="A7" s="2" t="s">
        <v>55</v>
      </c>
      <c r="B7" s="3">
        <v>45694</v>
      </c>
      <c r="C7" s="2" t="s">
        <v>56</v>
      </c>
      <c r="D7" s="2" t="s">
        <v>57</v>
      </c>
      <c r="E7" s="2" t="s">
        <v>58</v>
      </c>
      <c r="F7" s="4">
        <v>15</v>
      </c>
      <c r="G7" s="2" t="s">
        <v>35</v>
      </c>
      <c r="H7" s="5">
        <v>5.4</v>
      </c>
      <c r="I7" s="5">
        <v>81</v>
      </c>
      <c r="J7" s="2" t="s">
        <v>36</v>
      </c>
      <c r="K7" s="2" t="s">
        <v>59</v>
      </c>
      <c r="L7" s="3">
        <v>46112</v>
      </c>
      <c r="M7" s="2" t="s">
        <v>38</v>
      </c>
      <c r="N7" s="2" t="s">
        <v>60</v>
      </c>
      <c r="O7" s="29">
        <f t="shared" si="0"/>
        <v>81</v>
      </c>
      <c r="P7" s="30" t="str">
        <f t="shared" si="1"/>
        <v>OK</v>
      </c>
      <c r="Q7" s="42">
        <f t="shared" si="2"/>
        <v>418</v>
      </c>
      <c r="R7" s="2" t="s">
        <v>332</v>
      </c>
    </row>
    <row r="8" spans="1:18" x14ac:dyDescent="0.25">
      <c r="A8" s="2" t="s">
        <v>61</v>
      </c>
      <c r="B8" s="3">
        <v>45695</v>
      </c>
      <c r="C8" s="2" t="s">
        <v>260</v>
      </c>
      <c r="D8" s="2" t="s">
        <v>62</v>
      </c>
      <c r="E8" s="2" t="s">
        <v>63</v>
      </c>
      <c r="F8" s="4">
        <v>30</v>
      </c>
      <c r="G8" s="2" t="s">
        <v>64</v>
      </c>
      <c r="H8" s="5">
        <v>1.2</v>
      </c>
      <c r="I8" s="5">
        <v>36</v>
      </c>
      <c r="J8" s="2" t="s">
        <v>27</v>
      </c>
      <c r="K8" s="2" t="s">
        <v>65</v>
      </c>
      <c r="L8" s="3">
        <v>46507</v>
      </c>
      <c r="M8" s="2" t="s">
        <v>29</v>
      </c>
      <c r="N8" s="2" t="s">
        <v>66</v>
      </c>
      <c r="O8" s="29">
        <f t="shared" si="0"/>
        <v>36</v>
      </c>
      <c r="P8" s="30" t="str">
        <f t="shared" si="1"/>
        <v>OK</v>
      </c>
      <c r="Q8" s="42">
        <f t="shared" si="2"/>
        <v>812</v>
      </c>
      <c r="R8" s="2" t="s">
        <v>332</v>
      </c>
    </row>
    <row r="9" spans="1:18" x14ac:dyDescent="0.25">
      <c r="A9" s="2" t="s">
        <v>67</v>
      </c>
      <c r="B9" s="3">
        <v>45696</v>
      </c>
      <c r="C9" s="2" t="s">
        <v>68</v>
      </c>
      <c r="D9" s="2" t="s">
        <v>69</v>
      </c>
      <c r="E9" s="2" t="s">
        <v>70</v>
      </c>
      <c r="F9" s="4">
        <v>60</v>
      </c>
      <c r="G9" s="2" t="s">
        <v>64</v>
      </c>
      <c r="H9" s="5">
        <v>0.8</v>
      </c>
      <c r="I9" s="5">
        <v>48</v>
      </c>
      <c r="J9" s="2" t="s">
        <v>19</v>
      </c>
      <c r="K9" s="2" t="s">
        <v>71</v>
      </c>
      <c r="L9" s="3">
        <v>46387</v>
      </c>
      <c r="M9" s="2" t="s">
        <v>46</v>
      </c>
      <c r="N9" s="2" t="s">
        <v>72</v>
      </c>
      <c r="O9" s="29">
        <f t="shared" si="0"/>
        <v>48</v>
      </c>
      <c r="P9" s="30" t="str">
        <f t="shared" si="1"/>
        <v>OK</v>
      </c>
      <c r="Q9" s="42">
        <f t="shared" si="2"/>
        <v>691</v>
      </c>
      <c r="R9" s="2" t="s">
        <v>332</v>
      </c>
    </row>
    <row r="10" spans="1:18" x14ac:dyDescent="0.25">
      <c r="A10" s="2" t="s">
        <v>73</v>
      </c>
      <c r="B10" s="3">
        <v>45697</v>
      </c>
      <c r="C10" s="2" t="s">
        <v>74</v>
      </c>
      <c r="D10" s="2" t="s">
        <v>75</v>
      </c>
      <c r="E10" s="2" t="s">
        <v>76</v>
      </c>
      <c r="F10" s="4">
        <v>25</v>
      </c>
      <c r="G10" s="2" t="s">
        <v>77</v>
      </c>
      <c r="H10" s="5">
        <v>6.3</v>
      </c>
      <c r="I10" s="5">
        <v>157.5</v>
      </c>
      <c r="J10" s="2" t="s">
        <v>36</v>
      </c>
      <c r="K10" s="2" t="s">
        <v>78</v>
      </c>
      <c r="L10" s="3">
        <v>46234</v>
      </c>
      <c r="M10" s="2" t="s">
        <v>21</v>
      </c>
      <c r="N10" s="2" t="s">
        <v>79</v>
      </c>
      <c r="O10" s="29">
        <f t="shared" si="0"/>
        <v>157.5</v>
      </c>
      <c r="P10" s="30" t="str">
        <f t="shared" si="1"/>
        <v>OK</v>
      </c>
      <c r="Q10" s="42">
        <f t="shared" si="2"/>
        <v>537</v>
      </c>
      <c r="R10" s="2" t="s">
        <v>332</v>
      </c>
    </row>
    <row r="11" spans="1:18" x14ac:dyDescent="0.25">
      <c r="A11" s="2" t="s">
        <v>80</v>
      </c>
      <c r="B11" s="3">
        <v>45699</v>
      </c>
      <c r="C11" s="2" t="s">
        <v>32</v>
      </c>
      <c r="D11" s="2" t="s">
        <v>82</v>
      </c>
      <c r="E11" s="2" t="s">
        <v>83</v>
      </c>
      <c r="F11" s="4">
        <v>12</v>
      </c>
      <c r="G11" s="2" t="s">
        <v>35</v>
      </c>
      <c r="H11" s="5">
        <v>3.9</v>
      </c>
      <c r="I11" s="5">
        <v>46.8</v>
      </c>
      <c r="J11" s="2" t="s">
        <v>84</v>
      </c>
      <c r="K11" s="2" t="s">
        <v>85</v>
      </c>
      <c r="L11" s="3">
        <v>46203</v>
      </c>
      <c r="M11" s="2" t="s">
        <v>38</v>
      </c>
      <c r="N11" s="2" t="s">
        <v>86</v>
      </c>
      <c r="O11" s="29">
        <f t="shared" si="0"/>
        <v>46.8</v>
      </c>
      <c r="P11" s="30" t="str">
        <f t="shared" si="1"/>
        <v>OK</v>
      </c>
      <c r="Q11" s="42">
        <f t="shared" si="2"/>
        <v>504</v>
      </c>
      <c r="R11" s="2" t="s">
        <v>332</v>
      </c>
    </row>
    <row r="12" spans="1:18" x14ac:dyDescent="0.25">
      <c r="A12" s="2" t="s">
        <v>87</v>
      </c>
      <c r="B12" s="3">
        <v>45699</v>
      </c>
      <c r="C12" s="2" t="s">
        <v>88</v>
      </c>
      <c r="D12" s="2" t="s">
        <v>89</v>
      </c>
      <c r="E12" s="2" t="s">
        <v>90</v>
      </c>
      <c r="F12" s="4">
        <v>18</v>
      </c>
      <c r="G12" s="2" t="s">
        <v>91</v>
      </c>
      <c r="H12" s="5">
        <v>2.75</v>
      </c>
      <c r="I12" s="5">
        <v>49.5</v>
      </c>
      <c r="J12" s="2" t="s">
        <v>19</v>
      </c>
      <c r="K12" s="2" t="s">
        <v>92</v>
      </c>
      <c r="L12" s="3">
        <v>46446</v>
      </c>
      <c r="M12" s="2" t="s">
        <v>29</v>
      </c>
      <c r="N12" s="2" t="s">
        <v>93</v>
      </c>
      <c r="O12" s="29">
        <f t="shared" si="0"/>
        <v>49.5</v>
      </c>
      <c r="P12" s="30" t="str">
        <f t="shared" si="1"/>
        <v>OK</v>
      </c>
      <c r="Q12" s="42">
        <f t="shared" si="2"/>
        <v>747</v>
      </c>
      <c r="R12" s="2" t="s">
        <v>332</v>
      </c>
    </row>
    <row r="13" spans="1:18" x14ac:dyDescent="0.25">
      <c r="A13" s="2" t="s">
        <v>94</v>
      </c>
      <c r="B13" s="3">
        <v>45700</v>
      </c>
      <c r="C13" s="2" t="s">
        <v>15</v>
      </c>
      <c r="D13" s="2" t="s">
        <v>95</v>
      </c>
      <c r="E13" s="2" t="s">
        <v>96</v>
      </c>
      <c r="F13" s="4">
        <v>30</v>
      </c>
      <c r="G13" s="2" t="s">
        <v>18</v>
      </c>
      <c r="H13" s="5">
        <v>1.1000000000000001</v>
      </c>
      <c r="I13" s="5">
        <v>33</v>
      </c>
      <c r="J13" s="2" t="s">
        <v>27</v>
      </c>
      <c r="K13" s="2" t="s">
        <v>97</v>
      </c>
      <c r="L13" s="3">
        <v>46326</v>
      </c>
      <c r="M13" s="2" t="s">
        <v>21</v>
      </c>
      <c r="N13" s="2" t="s">
        <v>98</v>
      </c>
      <c r="O13" s="29">
        <f t="shared" si="0"/>
        <v>33</v>
      </c>
      <c r="P13" s="30" t="str">
        <f t="shared" si="1"/>
        <v>OK</v>
      </c>
      <c r="Q13" s="42">
        <f t="shared" si="2"/>
        <v>626</v>
      </c>
      <c r="R13" s="2" t="s">
        <v>332</v>
      </c>
    </row>
    <row r="14" spans="1:18" x14ac:dyDescent="0.25">
      <c r="A14" s="2" t="s">
        <v>99</v>
      </c>
      <c r="B14" s="3">
        <v>45701</v>
      </c>
      <c r="C14" s="2" t="s">
        <v>41</v>
      </c>
      <c r="D14" s="2" t="s">
        <v>101</v>
      </c>
      <c r="E14" s="2" t="s">
        <v>102</v>
      </c>
      <c r="F14" s="4">
        <v>10</v>
      </c>
      <c r="G14" s="2" t="s">
        <v>103</v>
      </c>
      <c r="H14" s="5">
        <v>2.4</v>
      </c>
      <c r="I14" s="5">
        <v>24</v>
      </c>
      <c r="J14" s="2" t="s">
        <v>27</v>
      </c>
      <c r="K14" s="2" t="s">
        <v>104</v>
      </c>
      <c r="L14" s="3">
        <v>46142</v>
      </c>
      <c r="M14" s="2" t="s">
        <v>46</v>
      </c>
      <c r="N14" s="2" t="s">
        <v>105</v>
      </c>
      <c r="O14" s="29">
        <f t="shared" si="0"/>
        <v>24</v>
      </c>
      <c r="P14" s="30" t="str">
        <f t="shared" si="1"/>
        <v>OK</v>
      </c>
      <c r="Q14" s="42">
        <f t="shared" si="2"/>
        <v>441</v>
      </c>
      <c r="R14" s="2" t="s">
        <v>332</v>
      </c>
    </row>
    <row r="15" spans="1:18" x14ac:dyDescent="0.25">
      <c r="A15" s="2" t="s">
        <v>106</v>
      </c>
      <c r="B15" s="3">
        <v>45702</v>
      </c>
      <c r="C15" s="2" t="s">
        <v>56</v>
      </c>
      <c r="D15" s="2" t="s">
        <v>107</v>
      </c>
      <c r="E15" s="2" t="s">
        <v>108</v>
      </c>
      <c r="F15" s="4">
        <v>8</v>
      </c>
      <c r="G15" s="2" t="s">
        <v>77</v>
      </c>
      <c r="H15" s="5">
        <v>120</v>
      </c>
      <c r="I15" s="5">
        <v>960</v>
      </c>
      <c r="J15" s="2" t="s">
        <v>84</v>
      </c>
      <c r="K15" s="2" t="s">
        <v>109</v>
      </c>
      <c r="L15" s="3">
        <v>46053</v>
      </c>
      <c r="M15" s="2" t="s">
        <v>38</v>
      </c>
      <c r="N15" s="2" t="s">
        <v>110</v>
      </c>
      <c r="O15" s="29">
        <f t="shared" si="0"/>
        <v>960</v>
      </c>
      <c r="P15" s="30" t="str">
        <f t="shared" si="1"/>
        <v>OK</v>
      </c>
      <c r="Q15" s="42">
        <f t="shared" si="2"/>
        <v>351</v>
      </c>
      <c r="R15" s="2" t="s">
        <v>332</v>
      </c>
    </row>
    <row r="16" spans="1:18" x14ac:dyDescent="0.25">
      <c r="A16" s="2" t="s">
        <v>111</v>
      </c>
      <c r="B16" s="3">
        <v>45703</v>
      </c>
      <c r="C16" s="2" t="s">
        <v>260</v>
      </c>
      <c r="D16" s="2" t="s">
        <v>113</v>
      </c>
      <c r="E16" s="2" t="s">
        <v>114</v>
      </c>
      <c r="F16" s="4">
        <v>-5</v>
      </c>
      <c r="G16" s="2" t="s">
        <v>35</v>
      </c>
      <c r="H16" s="5">
        <v>1.95</v>
      </c>
      <c r="I16" s="5">
        <v>-9.75</v>
      </c>
      <c r="J16" s="2" t="s">
        <v>36</v>
      </c>
      <c r="K16" s="2" t="s">
        <v>115</v>
      </c>
      <c r="L16" s="3">
        <v>46265</v>
      </c>
      <c r="M16" s="2" t="s">
        <v>29</v>
      </c>
      <c r="N16" s="2" t="s">
        <v>116</v>
      </c>
      <c r="O16" s="29">
        <f t="shared" si="0"/>
        <v>-9.75</v>
      </c>
      <c r="P16" s="30" t="str">
        <f t="shared" si="1"/>
        <v>Revisar</v>
      </c>
      <c r="Q16" s="42">
        <f t="shared" si="2"/>
        <v>562</v>
      </c>
      <c r="R16" s="2" t="s">
        <v>335</v>
      </c>
    </row>
    <row r="17" spans="1:18" x14ac:dyDescent="0.25">
      <c r="A17" s="2" t="s">
        <v>117</v>
      </c>
      <c r="B17" s="3">
        <v>45704</v>
      </c>
      <c r="C17" s="2" t="s">
        <v>68</v>
      </c>
      <c r="D17" s="2" t="s">
        <v>118</v>
      </c>
      <c r="E17" s="2" t="s">
        <v>119</v>
      </c>
      <c r="F17" s="4">
        <v>14</v>
      </c>
      <c r="G17" s="2" t="s">
        <v>120</v>
      </c>
      <c r="H17" s="5">
        <v>30</v>
      </c>
      <c r="I17" s="5">
        <v>420</v>
      </c>
      <c r="J17" s="2" t="s">
        <v>36</v>
      </c>
      <c r="K17" s="2" t="s">
        <v>121</v>
      </c>
      <c r="L17" s="3">
        <v>46295</v>
      </c>
      <c r="M17" s="2" t="s">
        <v>46</v>
      </c>
      <c r="N17" s="2" t="s">
        <v>122</v>
      </c>
      <c r="O17" s="29">
        <f t="shared" si="0"/>
        <v>420</v>
      </c>
      <c r="P17" s="30" t="str">
        <f t="shared" si="1"/>
        <v>OK</v>
      </c>
      <c r="Q17" s="42">
        <f t="shared" si="2"/>
        <v>591</v>
      </c>
      <c r="R17" s="2" t="s">
        <v>336</v>
      </c>
    </row>
    <row r="18" spans="1:18" x14ac:dyDescent="0.25">
      <c r="A18" s="2" t="s">
        <v>123</v>
      </c>
      <c r="B18" s="3">
        <v>45706</v>
      </c>
      <c r="C18" s="2" t="s">
        <v>74</v>
      </c>
      <c r="D18" s="2" t="s">
        <v>25</v>
      </c>
      <c r="E18" s="2" t="s">
        <v>26</v>
      </c>
      <c r="F18" s="4">
        <v>45</v>
      </c>
      <c r="G18" s="2" t="s">
        <v>18</v>
      </c>
      <c r="H18" s="5">
        <v>2.1</v>
      </c>
      <c r="I18" s="5">
        <v>94.5</v>
      </c>
      <c r="J18" s="2" t="s">
        <v>27</v>
      </c>
      <c r="K18" s="2" t="s">
        <v>28</v>
      </c>
      <c r="L18" s="3">
        <v>46418</v>
      </c>
      <c r="M18" s="2" t="s">
        <v>21</v>
      </c>
      <c r="N18" s="2" t="s">
        <v>124</v>
      </c>
      <c r="O18" s="29">
        <f t="shared" si="0"/>
        <v>94.5</v>
      </c>
      <c r="P18" s="30" t="str">
        <f t="shared" si="1"/>
        <v>OK</v>
      </c>
      <c r="Q18" s="42">
        <f t="shared" si="2"/>
        <v>712</v>
      </c>
      <c r="R18" s="2" t="s">
        <v>332</v>
      </c>
    </row>
    <row r="19" spans="1:18" x14ac:dyDescent="0.25">
      <c r="A19" s="2" t="s">
        <v>125</v>
      </c>
      <c r="B19" s="3">
        <v>45706</v>
      </c>
      <c r="C19" s="2" t="s">
        <v>15</v>
      </c>
      <c r="D19" s="2" t="s">
        <v>127</v>
      </c>
      <c r="E19" s="2" t="s">
        <v>128</v>
      </c>
      <c r="F19" s="4">
        <v>30</v>
      </c>
      <c r="G19" s="2" t="s">
        <v>18</v>
      </c>
      <c r="H19" s="5">
        <v>1.35</v>
      </c>
      <c r="I19" s="5">
        <v>40.5</v>
      </c>
      <c r="J19" s="2" t="s">
        <v>19</v>
      </c>
      <c r="K19" s="2" t="s">
        <v>129</v>
      </c>
      <c r="L19" s="3">
        <v>46387</v>
      </c>
      <c r="M19" s="2" t="s">
        <v>38</v>
      </c>
      <c r="N19" s="2" t="s">
        <v>130</v>
      </c>
      <c r="O19" s="29">
        <f t="shared" si="0"/>
        <v>40.5</v>
      </c>
      <c r="P19" s="30" t="str">
        <f t="shared" si="1"/>
        <v>OK</v>
      </c>
      <c r="Q19" s="42">
        <f t="shared" si="2"/>
        <v>681</v>
      </c>
      <c r="R19" s="2" t="s">
        <v>332</v>
      </c>
    </row>
    <row r="20" spans="1:18" x14ac:dyDescent="0.25">
      <c r="A20" s="2" t="s">
        <v>131</v>
      </c>
      <c r="B20" s="3">
        <v>45707</v>
      </c>
      <c r="C20" s="2" t="s">
        <v>88</v>
      </c>
      <c r="D20" s="2" t="s">
        <v>132</v>
      </c>
      <c r="E20" s="2" t="s">
        <v>133</v>
      </c>
      <c r="F20" s="4">
        <v>16</v>
      </c>
      <c r="G20" s="2" t="s">
        <v>91</v>
      </c>
      <c r="H20" s="5">
        <v>4.2</v>
      </c>
      <c r="I20" s="5">
        <v>67.2</v>
      </c>
      <c r="J20" s="2" t="s">
        <v>19</v>
      </c>
      <c r="K20" s="2" t="s">
        <v>134</v>
      </c>
      <c r="L20" s="3">
        <v>46477</v>
      </c>
      <c r="M20" s="2" t="s">
        <v>29</v>
      </c>
      <c r="N20" s="2" t="s">
        <v>135</v>
      </c>
      <c r="O20" s="29">
        <f t="shared" si="0"/>
        <v>67.2</v>
      </c>
      <c r="P20" s="30" t="str">
        <f t="shared" si="1"/>
        <v>OK</v>
      </c>
      <c r="Q20" s="42">
        <f t="shared" si="2"/>
        <v>770</v>
      </c>
      <c r="R20" s="2" t="s">
        <v>332</v>
      </c>
    </row>
    <row r="21" spans="1:18" x14ac:dyDescent="0.25">
      <c r="A21" s="2" t="s">
        <v>136</v>
      </c>
      <c r="B21" s="3">
        <v>45708</v>
      </c>
      <c r="C21" s="2" t="s">
        <v>32</v>
      </c>
      <c r="D21" s="2" t="s">
        <v>137</v>
      </c>
      <c r="E21" s="2" t="s">
        <v>138</v>
      </c>
      <c r="F21" s="4">
        <v>15</v>
      </c>
      <c r="G21" s="2" t="s">
        <v>139</v>
      </c>
      <c r="H21" s="5">
        <v>7.8</v>
      </c>
      <c r="I21" s="5">
        <v>156</v>
      </c>
      <c r="J21" s="2" t="s">
        <v>84</v>
      </c>
      <c r="K21" s="2" t="s">
        <v>140</v>
      </c>
      <c r="L21" s="3">
        <v>46173</v>
      </c>
      <c r="M21" s="2" t="s">
        <v>46</v>
      </c>
      <c r="N21" s="2" t="s">
        <v>141</v>
      </c>
      <c r="O21" s="29">
        <f t="shared" si="0"/>
        <v>117</v>
      </c>
      <c r="P21" s="30" t="str">
        <f t="shared" si="1"/>
        <v>Revisar</v>
      </c>
      <c r="Q21" s="42">
        <f t="shared" si="2"/>
        <v>465</v>
      </c>
      <c r="R21" s="2" t="s">
        <v>332</v>
      </c>
    </row>
    <row r="22" spans="1:18" x14ac:dyDescent="0.25">
      <c r="A22" s="2" t="s">
        <v>142</v>
      </c>
      <c r="B22" s="3">
        <v>45709</v>
      </c>
      <c r="C22" s="2" t="s">
        <v>56</v>
      </c>
      <c r="D22" s="2" t="s">
        <v>57</v>
      </c>
      <c r="E22" s="2" t="s">
        <v>58</v>
      </c>
      <c r="F22" s="4">
        <v>15</v>
      </c>
      <c r="G22" s="2" t="s">
        <v>35</v>
      </c>
      <c r="H22" s="5">
        <v>5.4</v>
      </c>
      <c r="I22" s="5">
        <v>81</v>
      </c>
      <c r="J22" s="2" t="s">
        <v>36</v>
      </c>
      <c r="K22" s="2" t="s">
        <v>59</v>
      </c>
      <c r="L22" s="3">
        <v>46112</v>
      </c>
      <c r="M22" s="2" t="s">
        <v>21</v>
      </c>
      <c r="N22" s="2" t="s">
        <v>143</v>
      </c>
      <c r="O22" s="29">
        <f t="shared" si="0"/>
        <v>81</v>
      </c>
      <c r="P22" s="30" t="str">
        <f t="shared" si="1"/>
        <v>OK</v>
      </c>
      <c r="Q22" s="42">
        <f t="shared" si="2"/>
        <v>403</v>
      </c>
      <c r="R22" s="2" t="s">
        <v>335</v>
      </c>
    </row>
    <row r="23" spans="1:18" x14ac:dyDescent="0.25">
      <c r="A23" s="2" t="s">
        <v>144</v>
      </c>
      <c r="B23" s="3">
        <v>45710</v>
      </c>
      <c r="C23" s="2" t="s">
        <v>260</v>
      </c>
      <c r="D23" s="2" t="s">
        <v>145</v>
      </c>
      <c r="E23" s="2" t="s">
        <v>146</v>
      </c>
      <c r="F23" s="4">
        <v>22</v>
      </c>
      <c r="G23" s="2" t="s">
        <v>139</v>
      </c>
      <c r="H23" s="5">
        <v>3.1</v>
      </c>
      <c r="I23" s="5">
        <v>68.2</v>
      </c>
      <c r="J23" s="2" t="s">
        <v>27</v>
      </c>
      <c r="K23" s="2" t="s">
        <v>147</v>
      </c>
      <c r="L23" s="3">
        <v>46356</v>
      </c>
      <c r="M23" s="2" t="s">
        <v>38</v>
      </c>
      <c r="N23" s="2" t="s">
        <v>148</v>
      </c>
      <c r="O23" s="29">
        <f t="shared" si="0"/>
        <v>68.2</v>
      </c>
      <c r="P23" s="30" t="str">
        <f t="shared" si="1"/>
        <v>OK</v>
      </c>
      <c r="Q23" s="42">
        <f t="shared" si="2"/>
        <v>646</v>
      </c>
      <c r="R23" s="2" t="s">
        <v>332</v>
      </c>
    </row>
    <row r="24" spans="1:18" x14ac:dyDescent="0.25">
      <c r="A24" s="2" t="s">
        <v>149</v>
      </c>
      <c r="B24" s="3">
        <v>45711</v>
      </c>
      <c r="C24" s="2" t="s">
        <v>41</v>
      </c>
      <c r="D24" s="2" t="s">
        <v>42</v>
      </c>
      <c r="E24" s="2" t="s">
        <v>43</v>
      </c>
      <c r="F24" s="4">
        <v>20</v>
      </c>
      <c r="G24" s="2" t="s">
        <v>44</v>
      </c>
      <c r="H24" s="5">
        <v>1.8</v>
      </c>
      <c r="I24" s="5">
        <v>180</v>
      </c>
      <c r="J24" s="2" t="s">
        <v>19</v>
      </c>
      <c r="K24" s="2" t="s">
        <v>45</v>
      </c>
      <c r="L24" s="3">
        <v>46356</v>
      </c>
      <c r="M24" s="2" t="s">
        <v>29</v>
      </c>
      <c r="N24" s="2" t="s">
        <v>150</v>
      </c>
      <c r="O24" s="29">
        <f t="shared" si="0"/>
        <v>36</v>
      </c>
      <c r="P24" s="30" t="str">
        <f t="shared" si="1"/>
        <v>Revisar</v>
      </c>
      <c r="Q24" s="42">
        <f t="shared" si="2"/>
        <v>645</v>
      </c>
      <c r="R24" s="2" t="s">
        <v>336</v>
      </c>
    </row>
    <row r="25" spans="1:18" x14ac:dyDescent="0.25">
      <c r="A25" s="2" t="s">
        <v>151</v>
      </c>
      <c r="B25" s="3">
        <v>45712</v>
      </c>
      <c r="C25" s="2" t="s">
        <v>68</v>
      </c>
      <c r="D25" s="2" t="s">
        <v>152</v>
      </c>
      <c r="E25" s="2" t="s">
        <v>153</v>
      </c>
      <c r="F25" s="4">
        <v>90</v>
      </c>
      <c r="G25" s="2" t="s">
        <v>18</v>
      </c>
      <c r="H25" s="5">
        <v>1.05</v>
      </c>
      <c r="I25" s="5">
        <v>63</v>
      </c>
      <c r="J25" s="2" t="s">
        <v>27</v>
      </c>
      <c r="K25" s="2" t="s">
        <v>154</v>
      </c>
      <c r="L25" s="3">
        <v>46538</v>
      </c>
      <c r="M25" s="2" t="s">
        <v>46</v>
      </c>
      <c r="N25" s="2" t="s">
        <v>155</v>
      </c>
      <c r="O25" s="29">
        <f t="shared" si="0"/>
        <v>94.5</v>
      </c>
      <c r="P25" s="30" t="str">
        <f t="shared" si="1"/>
        <v>Revisar</v>
      </c>
      <c r="Q25" s="42">
        <f t="shared" si="2"/>
        <v>826</v>
      </c>
      <c r="R25" s="2" t="s">
        <v>332</v>
      </c>
    </row>
    <row r="26" spans="1:18" x14ac:dyDescent="0.25">
      <c r="A26" s="2" t="s">
        <v>156</v>
      </c>
      <c r="B26" s="3">
        <v>45713</v>
      </c>
      <c r="C26" s="2" t="s">
        <v>15</v>
      </c>
      <c r="D26" s="2" t="s">
        <v>157</v>
      </c>
      <c r="E26" s="2" t="s">
        <v>158</v>
      </c>
      <c r="F26" s="4">
        <v>30</v>
      </c>
      <c r="G26" s="2" t="s">
        <v>18</v>
      </c>
      <c r="H26" s="5">
        <v>1.05</v>
      </c>
      <c r="I26" s="5">
        <v>31.5</v>
      </c>
      <c r="J26" s="2" t="s">
        <v>19</v>
      </c>
      <c r="K26" s="2" t="s">
        <v>159</v>
      </c>
      <c r="L26" s="3">
        <v>46326</v>
      </c>
      <c r="M26" s="2" t="s">
        <v>21</v>
      </c>
      <c r="N26" s="2" t="s">
        <v>161</v>
      </c>
      <c r="O26" s="29">
        <f t="shared" si="0"/>
        <v>31.5</v>
      </c>
      <c r="P26" s="30" t="str">
        <f t="shared" si="1"/>
        <v>OK</v>
      </c>
      <c r="Q26" s="42">
        <f t="shared" si="2"/>
        <v>613</v>
      </c>
      <c r="R26" s="2" t="s">
        <v>332</v>
      </c>
    </row>
    <row r="27" spans="1:18" x14ac:dyDescent="0.25">
      <c r="A27" s="2" t="s">
        <v>162</v>
      </c>
      <c r="B27" s="3">
        <v>45714</v>
      </c>
      <c r="C27" s="2" t="s">
        <v>74</v>
      </c>
      <c r="D27" s="2" t="s">
        <v>75</v>
      </c>
      <c r="E27" s="2" t="s">
        <v>76</v>
      </c>
      <c r="F27" s="4">
        <v>25</v>
      </c>
      <c r="G27" s="2" t="s">
        <v>77</v>
      </c>
      <c r="H27" s="5">
        <v>6.3</v>
      </c>
      <c r="I27" s="5">
        <v>157.5</v>
      </c>
      <c r="J27" s="2" t="s">
        <v>36</v>
      </c>
      <c r="K27" s="2" t="s">
        <v>78</v>
      </c>
      <c r="L27" s="3">
        <v>45322</v>
      </c>
      <c r="M27" s="2" t="s">
        <v>38</v>
      </c>
      <c r="N27" s="2" t="s">
        <v>163</v>
      </c>
      <c r="O27" s="29">
        <f t="shared" si="0"/>
        <v>157.5</v>
      </c>
      <c r="P27" s="30" t="str">
        <f t="shared" si="1"/>
        <v>Revisar</v>
      </c>
      <c r="Q27" s="42">
        <f t="shared" si="2"/>
        <v>-392</v>
      </c>
      <c r="R27" s="2" t="s">
        <v>336</v>
      </c>
    </row>
    <row r="28" spans="1:18" x14ac:dyDescent="0.25">
      <c r="A28" s="2" t="s">
        <v>164</v>
      </c>
      <c r="B28" s="3">
        <v>45715</v>
      </c>
      <c r="C28" s="2" t="s">
        <v>88</v>
      </c>
      <c r="D28" s="2" t="s">
        <v>89</v>
      </c>
      <c r="E28" s="2" t="s">
        <v>90</v>
      </c>
      <c r="F28" s="4">
        <v>18</v>
      </c>
      <c r="G28" s="2" t="s">
        <v>91</v>
      </c>
      <c r="H28" s="5">
        <v>2.75</v>
      </c>
      <c r="I28" s="5">
        <v>49.5</v>
      </c>
      <c r="J28" s="2"/>
      <c r="K28" s="2" t="s">
        <v>92</v>
      </c>
      <c r="L28" s="3">
        <v>46446</v>
      </c>
      <c r="M28" s="2" t="s">
        <v>29</v>
      </c>
      <c r="N28" s="2" t="s">
        <v>165</v>
      </c>
      <c r="O28" s="29">
        <f t="shared" si="0"/>
        <v>49.5</v>
      </c>
      <c r="P28" s="30" t="str">
        <f t="shared" si="1"/>
        <v>Revisar</v>
      </c>
      <c r="Q28" s="42">
        <f t="shared" si="2"/>
        <v>731</v>
      </c>
      <c r="R28" s="2" t="s">
        <v>336</v>
      </c>
    </row>
    <row r="29" spans="1:18" x14ac:dyDescent="0.25">
      <c r="A29" s="2" t="s">
        <v>166</v>
      </c>
      <c r="B29" s="3">
        <v>45716</v>
      </c>
      <c r="C29" s="2" t="s">
        <v>32</v>
      </c>
      <c r="D29" s="2" t="s">
        <v>167</v>
      </c>
      <c r="E29" s="2" t="s">
        <v>168</v>
      </c>
      <c r="F29" s="4">
        <v>16</v>
      </c>
      <c r="G29" s="2" t="s">
        <v>35</v>
      </c>
      <c r="H29" s="5">
        <v>2.6</v>
      </c>
      <c r="I29" s="5">
        <v>41.6</v>
      </c>
      <c r="J29" s="2" t="s">
        <v>84</v>
      </c>
      <c r="K29" s="2" t="s">
        <v>169</v>
      </c>
      <c r="L29" s="3">
        <v>46234</v>
      </c>
      <c r="M29" s="2" t="s">
        <v>46</v>
      </c>
      <c r="N29" s="2" t="s">
        <v>170</v>
      </c>
      <c r="O29" s="29">
        <f t="shared" si="0"/>
        <v>41.6</v>
      </c>
      <c r="P29" s="30" t="str">
        <f t="shared" si="1"/>
        <v>OK</v>
      </c>
      <c r="Q29" s="42">
        <f t="shared" si="2"/>
        <v>518</v>
      </c>
      <c r="R29" s="2" t="s">
        <v>332</v>
      </c>
    </row>
    <row r="30" spans="1:18" x14ac:dyDescent="0.25">
      <c r="A30" s="2" t="s">
        <v>171</v>
      </c>
      <c r="B30" s="3">
        <v>45717</v>
      </c>
      <c r="C30" s="2" t="s">
        <v>56</v>
      </c>
      <c r="D30" s="2" t="s">
        <v>172</v>
      </c>
      <c r="E30" s="2" t="s">
        <v>173</v>
      </c>
      <c r="F30" s="4">
        <v>40</v>
      </c>
      <c r="G30" s="2" t="s">
        <v>18</v>
      </c>
      <c r="H30" s="5">
        <v>0.55000000000000004</v>
      </c>
      <c r="I30" s="5">
        <v>22</v>
      </c>
      <c r="J30" s="2" t="s">
        <v>27</v>
      </c>
      <c r="K30" s="2" t="s">
        <v>174</v>
      </c>
      <c r="L30" s="3">
        <v>46295</v>
      </c>
      <c r="M30" s="2" t="s">
        <v>21</v>
      </c>
      <c r="N30" s="2" t="s">
        <v>175</v>
      </c>
      <c r="O30" s="29">
        <f t="shared" si="0"/>
        <v>22</v>
      </c>
      <c r="P30" s="30" t="str">
        <f t="shared" si="1"/>
        <v>OK</v>
      </c>
      <c r="Q30" s="42">
        <f t="shared" si="2"/>
        <v>578</v>
      </c>
      <c r="R30" s="2" t="s">
        <v>332</v>
      </c>
    </row>
    <row r="31" spans="1:18" x14ac:dyDescent="0.25">
      <c r="A31" s="2" t="s">
        <v>176</v>
      </c>
      <c r="B31" s="3">
        <v>45660</v>
      </c>
      <c r="C31" s="2" t="s">
        <v>260</v>
      </c>
      <c r="D31" s="2" t="s">
        <v>177</v>
      </c>
      <c r="E31" s="2" t="s">
        <v>178</v>
      </c>
      <c r="F31" s="4">
        <v>25</v>
      </c>
      <c r="G31" s="2" t="s">
        <v>18</v>
      </c>
      <c r="H31" s="5">
        <v>0.9</v>
      </c>
      <c r="I31" s="5">
        <v>22.5</v>
      </c>
      <c r="J31" s="2" t="s">
        <v>19</v>
      </c>
      <c r="K31" s="2" t="s">
        <v>179</v>
      </c>
      <c r="L31" s="3">
        <v>46418</v>
      </c>
      <c r="M31" s="2" t="s">
        <v>38</v>
      </c>
      <c r="N31" s="2" t="s">
        <v>180</v>
      </c>
      <c r="O31" s="29">
        <f t="shared" si="0"/>
        <v>22.5</v>
      </c>
      <c r="P31" s="30" t="str">
        <f t="shared" si="1"/>
        <v>OK</v>
      </c>
      <c r="Q31" s="42">
        <f t="shared" si="2"/>
        <v>758</v>
      </c>
      <c r="R31" s="2" t="s">
        <v>332</v>
      </c>
    </row>
    <row r="32" spans="1:18" x14ac:dyDescent="0.25">
      <c r="A32" s="2" t="s">
        <v>181</v>
      </c>
      <c r="B32" s="3">
        <v>45718</v>
      </c>
      <c r="C32" s="2" t="s">
        <v>15</v>
      </c>
      <c r="D32" s="2" t="s">
        <v>182</v>
      </c>
      <c r="E32" s="2" t="s">
        <v>183</v>
      </c>
      <c r="F32" s="4">
        <v>30</v>
      </c>
      <c r="G32" s="2" t="s">
        <v>18</v>
      </c>
      <c r="H32" s="5">
        <v>1.25</v>
      </c>
      <c r="I32" s="5">
        <v>37.5</v>
      </c>
      <c r="J32" s="2" t="s">
        <v>27</v>
      </c>
      <c r="K32" s="2" t="s">
        <v>184</v>
      </c>
      <c r="L32" s="3">
        <v>46387</v>
      </c>
      <c r="M32" s="2" t="s">
        <v>29</v>
      </c>
      <c r="N32" s="2" t="s">
        <v>185</v>
      </c>
      <c r="O32" s="29">
        <f t="shared" si="0"/>
        <v>37.5</v>
      </c>
      <c r="P32" s="30" t="str">
        <f t="shared" si="1"/>
        <v>OK</v>
      </c>
      <c r="Q32" s="42">
        <f t="shared" si="2"/>
        <v>669</v>
      </c>
      <c r="R32" s="2" t="s">
        <v>332</v>
      </c>
    </row>
    <row r="33" spans="1:18" x14ac:dyDescent="0.25">
      <c r="A33" s="2" t="s">
        <v>186</v>
      </c>
      <c r="B33" s="3">
        <v>45719</v>
      </c>
      <c r="C33" s="2" t="s">
        <v>41</v>
      </c>
      <c r="D33" s="2" t="s">
        <v>187</v>
      </c>
      <c r="E33" s="2" t="s">
        <v>26</v>
      </c>
      <c r="F33" s="4">
        <v>12</v>
      </c>
      <c r="G33" s="2" t="s">
        <v>103</v>
      </c>
      <c r="H33" s="5">
        <v>2.2999999999999998</v>
      </c>
      <c r="I33" s="5">
        <v>27.6</v>
      </c>
      <c r="J33" s="2" t="s">
        <v>27</v>
      </c>
      <c r="K33" s="2" t="s">
        <v>188</v>
      </c>
      <c r="L33" s="3">
        <v>46203</v>
      </c>
      <c r="M33" s="2" t="s">
        <v>46</v>
      </c>
      <c r="N33" s="2" t="s">
        <v>189</v>
      </c>
      <c r="O33" s="29">
        <f t="shared" si="0"/>
        <v>27.599999999999998</v>
      </c>
      <c r="P33" s="30" t="str">
        <f t="shared" si="1"/>
        <v>OK</v>
      </c>
      <c r="Q33" s="42">
        <f t="shared" si="2"/>
        <v>484</v>
      </c>
      <c r="R33" s="2" t="s">
        <v>332</v>
      </c>
    </row>
    <row r="34" spans="1:18" x14ac:dyDescent="0.25">
      <c r="A34" s="2" t="s">
        <v>190</v>
      </c>
      <c r="B34" s="3">
        <v>45720</v>
      </c>
      <c r="C34" s="2" t="s">
        <v>68</v>
      </c>
      <c r="D34" s="2" t="s">
        <v>69</v>
      </c>
      <c r="E34" s="2" t="s">
        <v>70</v>
      </c>
      <c r="F34" s="4"/>
      <c r="G34" s="2" t="s">
        <v>64</v>
      </c>
      <c r="H34" s="5">
        <v>0.8</v>
      </c>
      <c r="I34" s="5"/>
      <c r="J34" s="2" t="s">
        <v>19</v>
      </c>
      <c r="K34" s="2" t="s">
        <v>71</v>
      </c>
      <c r="L34" s="3">
        <v>46387</v>
      </c>
      <c r="M34" s="2" t="s">
        <v>21</v>
      </c>
      <c r="N34" s="2" t="s">
        <v>191</v>
      </c>
      <c r="O34" s="29" t="str">
        <f t="shared" si="0"/>
        <v/>
      </c>
      <c r="P34" s="30" t="str">
        <f t="shared" si="1"/>
        <v>Revisar</v>
      </c>
      <c r="Q34" s="42">
        <f t="shared" si="2"/>
        <v>667</v>
      </c>
      <c r="R34" s="2" t="s">
        <v>336</v>
      </c>
    </row>
    <row r="35" spans="1:18" x14ac:dyDescent="0.25">
      <c r="A35" s="2" t="s">
        <v>192</v>
      </c>
      <c r="B35" s="3">
        <v>45721</v>
      </c>
      <c r="C35" s="2" t="s">
        <v>74</v>
      </c>
      <c r="D35" s="2" t="s">
        <v>193</v>
      </c>
      <c r="E35" s="2" t="s">
        <v>194</v>
      </c>
      <c r="F35" s="4">
        <v>30</v>
      </c>
      <c r="G35" s="2" t="s">
        <v>64</v>
      </c>
      <c r="H35" s="5">
        <v>1.1499999999999999</v>
      </c>
      <c r="I35" s="5">
        <v>34.5</v>
      </c>
      <c r="J35" s="2" t="s">
        <v>36</v>
      </c>
      <c r="K35" s="2" t="s">
        <v>195</v>
      </c>
      <c r="L35" s="3">
        <v>46265</v>
      </c>
      <c r="M35" s="2" t="s">
        <v>38</v>
      </c>
      <c r="N35" s="2" t="s">
        <v>196</v>
      </c>
      <c r="O35" s="29">
        <f t="shared" si="0"/>
        <v>34.5</v>
      </c>
      <c r="P35" s="30" t="str">
        <f t="shared" si="1"/>
        <v>OK</v>
      </c>
      <c r="Q35" s="42">
        <f t="shared" si="2"/>
        <v>544</v>
      </c>
      <c r="R35" s="2" t="s">
        <v>332</v>
      </c>
    </row>
    <row r="36" spans="1:18" x14ac:dyDescent="0.25">
      <c r="A36" s="2" t="s">
        <v>197</v>
      </c>
      <c r="B36" s="3">
        <v>45722</v>
      </c>
      <c r="C36" s="2" t="s">
        <v>32</v>
      </c>
      <c r="D36" s="2" t="s">
        <v>198</v>
      </c>
      <c r="E36" s="2" t="s">
        <v>199</v>
      </c>
      <c r="F36" s="4">
        <v>20</v>
      </c>
      <c r="G36" s="2" t="s">
        <v>139</v>
      </c>
      <c r="H36" s="5">
        <v>2.95</v>
      </c>
      <c r="I36" s="5">
        <v>59</v>
      </c>
      <c r="J36" s="2" t="s">
        <v>84</v>
      </c>
      <c r="K36" s="2" t="s">
        <v>200</v>
      </c>
      <c r="L36" s="3">
        <v>46173</v>
      </c>
      <c r="M36" s="2" t="s">
        <v>29</v>
      </c>
      <c r="N36" s="2" t="s">
        <v>201</v>
      </c>
      <c r="O36" s="29">
        <f t="shared" si="0"/>
        <v>59</v>
      </c>
      <c r="P36" s="30" t="str">
        <f t="shared" si="1"/>
        <v>OK</v>
      </c>
      <c r="Q36" s="42">
        <f t="shared" si="2"/>
        <v>451</v>
      </c>
      <c r="R36" s="2" t="s">
        <v>332</v>
      </c>
    </row>
    <row r="37" spans="1:18" x14ac:dyDescent="0.25">
      <c r="A37" s="2" t="s">
        <v>202</v>
      </c>
      <c r="B37" s="3">
        <v>45723</v>
      </c>
      <c r="C37" s="2" t="s">
        <v>56</v>
      </c>
      <c r="D37" s="2" t="s">
        <v>107</v>
      </c>
      <c r="E37" s="2" t="s">
        <v>108</v>
      </c>
      <c r="F37" s="4">
        <v>8</v>
      </c>
      <c r="G37" s="2" t="s">
        <v>77</v>
      </c>
      <c r="H37" s="5">
        <v>120</v>
      </c>
      <c r="I37" s="5">
        <v>960</v>
      </c>
      <c r="J37" s="2" t="s">
        <v>84</v>
      </c>
      <c r="K37" s="2" t="s">
        <v>109</v>
      </c>
      <c r="L37" s="3">
        <v>46053</v>
      </c>
      <c r="M37" s="2" t="s">
        <v>46</v>
      </c>
      <c r="N37" s="2" t="s">
        <v>203</v>
      </c>
      <c r="O37" s="29">
        <f t="shared" si="0"/>
        <v>960</v>
      </c>
      <c r="P37" s="30" t="str">
        <f t="shared" si="1"/>
        <v>OK</v>
      </c>
      <c r="Q37" s="42">
        <f t="shared" si="2"/>
        <v>330</v>
      </c>
      <c r="R37" s="2" t="s">
        <v>332</v>
      </c>
    </row>
    <row r="38" spans="1:18" x14ac:dyDescent="0.25">
      <c r="A38" s="2" t="s">
        <v>204</v>
      </c>
      <c r="B38" s="3">
        <v>45724</v>
      </c>
      <c r="C38" s="2" t="s">
        <v>88</v>
      </c>
      <c r="D38" s="2" t="s">
        <v>205</v>
      </c>
      <c r="E38" s="2" t="s">
        <v>206</v>
      </c>
      <c r="F38" s="4">
        <v>14</v>
      </c>
      <c r="G38" s="2" t="s">
        <v>91</v>
      </c>
      <c r="H38" s="5">
        <v>5.0999999999999996</v>
      </c>
      <c r="I38" s="5">
        <v>71.400000000000006</v>
      </c>
      <c r="J38" s="2" t="s">
        <v>19</v>
      </c>
      <c r="K38" s="2" t="s">
        <v>207</v>
      </c>
      <c r="L38" s="3">
        <v>46507</v>
      </c>
      <c r="M38" s="2" t="s">
        <v>21</v>
      </c>
      <c r="N38" s="2" t="s">
        <v>208</v>
      </c>
      <c r="O38" s="29">
        <f t="shared" si="0"/>
        <v>71.399999999999991</v>
      </c>
      <c r="P38" s="30" t="str">
        <f t="shared" si="1"/>
        <v>OK</v>
      </c>
      <c r="Q38" s="42">
        <f t="shared" si="2"/>
        <v>783</v>
      </c>
      <c r="R38" s="2" t="s">
        <v>332</v>
      </c>
    </row>
    <row r="39" spans="1:18" x14ac:dyDescent="0.25">
      <c r="A39" s="2" t="s">
        <v>209</v>
      </c>
      <c r="B39" s="3">
        <v>45725</v>
      </c>
      <c r="C39" s="2" t="s">
        <v>15</v>
      </c>
      <c r="D39" s="2" t="s">
        <v>16</v>
      </c>
      <c r="E39" s="2" t="s">
        <v>17</v>
      </c>
      <c r="F39" s="4">
        <v>30</v>
      </c>
      <c r="G39" s="2" t="s">
        <v>18</v>
      </c>
      <c r="H39" s="5">
        <v>3.2</v>
      </c>
      <c r="I39" s="5">
        <v>96</v>
      </c>
      <c r="J39" s="2" t="s">
        <v>19</v>
      </c>
      <c r="K39" s="2" t="s">
        <v>20</v>
      </c>
      <c r="L39" s="3">
        <v>46265</v>
      </c>
      <c r="M39" s="2" t="s">
        <v>38</v>
      </c>
      <c r="N39" s="2" t="s">
        <v>211</v>
      </c>
      <c r="O39" s="29">
        <f t="shared" si="0"/>
        <v>96</v>
      </c>
      <c r="P39" s="30" t="str">
        <f t="shared" si="1"/>
        <v>OK</v>
      </c>
      <c r="Q39" s="42">
        <f t="shared" si="2"/>
        <v>540</v>
      </c>
      <c r="R39" s="2" t="s">
        <v>332</v>
      </c>
    </row>
    <row r="40" spans="1:18" x14ac:dyDescent="0.25">
      <c r="A40" s="2" t="s">
        <v>212</v>
      </c>
      <c r="B40" s="3">
        <v>45726</v>
      </c>
      <c r="C40" s="2" t="s">
        <v>260</v>
      </c>
      <c r="D40" s="2" t="s">
        <v>62</v>
      </c>
      <c r="E40" s="2" t="s">
        <v>63</v>
      </c>
      <c r="F40" s="4">
        <v>30</v>
      </c>
      <c r="G40" s="2" t="s">
        <v>64</v>
      </c>
      <c r="H40" s="5">
        <v>1.2</v>
      </c>
      <c r="I40" s="5">
        <v>36</v>
      </c>
      <c r="J40" s="2" t="s">
        <v>27</v>
      </c>
      <c r="K40" s="2" t="s">
        <v>65</v>
      </c>
      <c r="L40" s="3">
        <v>46507</v>
      </c>
      <c r="M40" s="2" t="s">
        <v>29</v>
      </c>
      <c r="N40" s="2" t="s">
        <v>213</v>
      </c>
      <c r="O40" s="29">
        <f t="shared" si="0"/>
        <v>36</v>
      </c>
      <c r="P40" s="30" t="str">
        <f t="shared" si="1"/>
        <v>OK</v>
      </c>
      <c r="Q40" s="42">
        <f t="shared" si="2"/>
        <v>781</v>
      </c>
      <c r="R40" s="2" t="s">
        <v>332</v>
      </c>
    </row>
    <row r="41" spans="1:18" x14ac:dyDescent="0.25">
      <c r="A41" s="2" t="s">
        <v>214</v>
      </c>
      <c r="B41" s="3">
        <v>45727</v>
      </c>
      <c r="C41" s="2" t="s">
        <v>41</v>
      </c>
      <c r="D41" s="2" t="s">
        <v>42</v>
      </c>
      <c r="E41" s="2" t="s">
        <v>43</v>
      </c>
      <c r="F41" s="4">
        <v>20</v>
      </c>
      <c r="G41" s="2" t="s">
        <v>44</v>
      </c>
      <c r="H41" s="5">
        <v>1.8</v>
      </c>
      <c r="I41" s="5">
        <v>36</v>
      </c>
      <c r="J41" s="2" t="s">
        <v>19</v>
      </c>
      <c r="K41" s="2" t="s">
        <v>45</v>
      </c>
      <c r="L41" s="3">
        <v>46356</v>
      </c>
      <c r="M41" s="2" t="s">
        <v>46</v>
      </c>
      <c r="N41" s="2" t="s">
        <v>215</v>
      </c>
      <c r="O41" s="29">
        <f t="shared" si="0"/>
        <v>36</v>
      </c>
      <c r="P41" s="30" t="str">
        <f t="shared" si="1"/>
        <v>OK</v>
      </c>
      <c r="Q41" s="42">
        <f t="shared" si="2"/>
        <v>629</v>
      </c>
      <c r="R41" s="2" t="s">
        <v>332</v>
      </c>
    </row>
    <row r="42" spans="1:18" x14ac:dyDescent="0.25">
      <c r="A42" s="2" t="s">
        <v>216</v>
      </c>
      <c r="B42" s="3">
        <v>45728</v>
      </c>
      <c r="C42" s="2" t="s">
        <v>68</v>
      </c>
      <c r="D42" s="2" t="s">
        <v>152</v>
      </c>
      <c r="E42" s="2" t="s">
        <v>153</v>
      </c>
      <c r="F42" s="4">
        <v>90</v>
      </c>
      <c r="G42" s="2" t="s">
        <v>18</v>
      </c>
      <c r="H42" s="5">
        <v>0.7</v>
      </c>
      <c r="I42" s="5">
        <v>63</v>
      </c>
      <c r="J42" s="2" t="s">
        <v>27</v>
      </c>
      <c r="K42" s="2" t="s">
        <v>154</v>
      </c>
      <c r="L42" s="3">
        <v>46538</v>
      </c>
      <c r="M42" s="2" t="s">
        <v>21</v>
      </c>
      <c r="N42" s="2" t="s">
        <v>217</v>
      </c>
      <c r="O42" s="29">
        <f t="shared" si="0"/>
        <v>62.999999999999993</v>
      </c>
      <c r="P42" s="30" t="str">
        <f t="shared" si="1"/>
        <v>OK</v>
      </c>
      <c r="Q42" s="42">
        <f t="shared" si="2"/>
        <v>810</v>
      </c>
      <c r="R42" s="2" t="s">
        <v>332</v>
      </c>
    </row>
    <row r="43" spans="1:18" x14ac:dyDescent="0.25">
      <c r="A43" s="2" t="s">
        <v>218</v>
      </c>
      <c r="B43" s="3">
        <v>45729</v>
      </c>
      <c r="C43" s="2" t="s">
        <v>56</v>
      </c>
      <c r="D43" s="2" t="s">
        <v>172</v>
      </c>
      <c r="E43" s="2" t="s">
        <v>173</v>
      </c>
      <c r="F43" s="4">
        <v>250</v>
      </c>
      <c r="G43" s="2" t="s">
        <v>18</v>
      </c>
      <c r="H43" s="5">
        <v>0.55000000000000004</v>
      </c>
      <c r="I43" s="5">
        <v>137.5</v>
      </c>
      <c r="J43" s="2" t="s">
        <v>27</v>
      </c>
      <c r="K43" s="2" t="s">
        <v>174</v>
      </c>
      <c r="L43" s="3">
        <v>46295</v>
      </c>
      <c r="M43" s="2" t="s">
        <v>38</v>
      </c>
      <c r="N43" s="2" t="s">
        <v>219</v>
      </c>
      <c r="O43" s="29">
        <f t="shared" si="0"/>
        <v>137.5</v>
      </c>
      <c r="P43" s="30" t="str">
        <f t="shared" si="1"/>
        <v>Revisar</v>
      </c>
      <c r="Q43" s="42">
        <f t="shared" si="2"/>
        <v>566</v>
      </c>
      <c r="R43" s="2" t="s">
        <v>336</v>
      </c>
    </row>
    <row r="44" spans="1:18" x14ac:dyDescent="0.25">
      <c r="A44" s="2" t="s">
        <v>220</v>
      </c>
      <c r="B44" s="3">
        <v>45730</v>
      </c>
      <c r="C44" s="2" t="s">
        <v>32</v>
      </c>
      <c r="D44" s="2" t="s">
        <v>137</v>
      </c>
      <c r="E44" s="2" t="s">
        <v>138</v>
      </c>
      <c r="F44" s="4">
        <v>20</v>
      </c>
      <c r="G44" s="2" t="s">
        <v>139</v>
      </c>
      <c r="H44" s="5">
        <v>7.8</v>
      </c>
      <c r="I44" s="5">
        <v>156</v>
      </c>
      <c r="J44" s="2" t="s">
        <v>84</v>
      </c>
      <c r="K44" s="2" t="s">
        <v>140</v>
      </c>
      <c r="L44" s="3">
        <v>46173</v>
      </c>
      <c r="M44" s="2" t="s">
        <v>29</v>
      </c>
      <c r="N44" s="2" t="s">
        <v>221</v>
      </c>
      <c r="O44" s="29">
        <f t="shared" si="0"/>
        <v>156</v>
      </c>
      <c r="P44" s="30" t="str">
        <f t="shared" si="1"/>
        <v>OK</v>
      </c>
      <c r="Q44" s="42">
        <f t="shared" si="2"/>
        <v>443</v>
      </c>
      <c r="R44" s="2" t="s">
        <v>332</v>
      </c>
    </row>
    <row r="45" spans="1:18" x14ac:dyDescent="0.25">
      <c r="A45" s="2" t="s">
        <v>222</v>
      </c>
      <c r="B45" s="3">
        <v>45731</v>
      </c>
      <c r="C45" s="2" t="s">
        <v>74</v>
      </c>
      <c r="D45" s="2" t="s">
        <v>193</v>
      </c>
      <c r="E45" s="2" t="s">
        <v>194</v>
      </c>
      <c r="F45" s="4">
        <v>30</v>
      </c>
      <c r="G45" s="2" t="s">
        <v>64</v>
      </c>
      <c r="H45" s="5">
        <v>1.1499999999999999</v>
      </c>
      <c r="I45" s="5">
        <v>34.5</v>
      </c>
      <c r="J45" s="2" t="s">
        <v>36</v>
      </c>
      <c r="K45" s="2" t="s">
        <v>195</v>
      </c>
      <c r="L45" s="3">
        <v>46265</v>
      </c>
      <c r="M45" s="2" t="s">
        <v>46</v>
      </c>
      <c r="N45" s="2" t="s">
        <v>223</v>
      </c>
      <c r="O45" s="29">
        <f t="shared" si="0"/>
        <v>34.5</v>
      </c>
      <c r="P45" s="30" t="str">
        <f t="shared" si="1"/>
        <v>OK</v>
      </c>
      <c r="Q45" s="42">
        <f t="shared" si="2"/>
        <v>534</v>
      </c>
      <c r="R45" s="2" t="s">
        <v>332</v>
      </c>
    </row>
    <row r="46" spans="1:18" x14ac:dyDescent="0.25">
      <c r="A46" s="2" t="s">
        <v>224</v>
      </c>
      <c r="B46" s="3">
        <v>45732</v>
      </c>
      <c r="C46" s="2" t="s">
        <v>15</v>
      </c>
      <c r="D46" s="2" t="s">
        <v>182</v>
      </c>
      <c r="E46" s="2" t="s">
        <v>183</v>
      </c>
      <c r="F46" s="4">
        <v>30</v>
      </c>
      <c r="G46" s="2" t="s">
        <v>18</v>
      </c>
      <c r="H46" s="5">
        <v>1.25</v>
      </c>
      <c r="I46" s="5">
        <v>37.5</v>
      </c>
      <c r="J46" s="2" t="s">
        <v>27</v>
      </c>
      <c r="K46" s="2" t="s">
        <v>184</v>
      </c>
      <c r="L46" s="3">
        <v>46387</v>
      </c>
      <c r="M46" s="2" t="s">
        <v>21</v>
      </c>
      <c r="N46" s="2" t="s">
        <v>225</v>
      </c>
      <c r="O46" s="29">
        <f t="shared" si="0"/>
        <v>37.5</v>
      </c>
      <c r="P46" s="30" t="str">
        <f t="shared" si="1"/>
        <v>OK</v>
      </c>
      <c r="Q46" s="42">
        <f t="shared" si="2"/>
        <v>655</v>
      </c>
      <c r="R46" s="2" t="s">
        <v>332</v>
      </c>
    </row>
    <row r="48" spans="1:18" ht="15.75" x14ac:dyDescent="0.25">
      <c r="N48" s="43" t="s">
        <v>337</v>
      </c>
    </row>
    <row r="49" spans="14:15" x14ac:dyDescent="0.25">
      <c r="N49" s="1" t="s">
        <v>338</v>
      </c>
      <c r="O49" s="34" t="s">
        <v>339</v>
      </c>
    </row>
    <row r="50" spans="14:15" x14ac:dyDescent="0.25">
      <c r="N50" t="s">
        <v>340</v>
      </c>
      <c r="O50">
        <f>COUNTIF($R$2:$R$46,"Reacción adversa")</f>
        <v>2</v>
      </c>
    </row>
    <row r="51" spans="14:15" x14ac:dyDescent="0.25">
      <c r="N51" t="s">
        <v>341</v>
      </c>
      <c r="O51">
        <f>COUNTIF($R$2:$R$46,"Alergia")</f>
        <v>1</v>
      </c>
    </row>
    <row r="52" spans="14:15" x14ac:dyDescent="0.25">
      <c r="N52" t="s">
        <v>333</v>
      </c>
      <c r="O52">
        <f>COUNTIF($R$2:$R$46,"Estupefacientes")</f>
        <v>1</v>
      </c>
    </row>
    <row r="53" spans="14:15" x14ac:dyDescent="0.25">
      <c r="N53" t="s">
        <v>342</v>
      </c>
      <c r="O53">
        <f>COUNTIF($R$2:$R$46,"Stock/Incidencia")</f>
        <v>6</v>
      </c>
    </row>
    <row r="54" spans="14:15" x14ac:dyDescent="0.25">
      <c r="N54" t="s">
        <v>343</v>
      </c>
      <c r="O54">
        <f>COUNTIF($R$2:$R$46,"Seguimiento clínico")</f>
        <v>35</v>
      </c>
    </row>
    <row r="55" spans="14:15" x14ac:dyDescent="0.25">
      <c r="N55" s="32" t="s">
        <v>344</v>
      </c>
      <c r="O55" s="32">
        <f>SUM(O50:O54)</f>
        <v>45</v>
      </c>
    </row>
  </sheetData>
  <conditionalFormatting sqref="Q2:Q46">
    <cfRule type="cellIs" dxfId="2" priority="1" operator="lessThan">
      <formula>0</formula>
    </cfRule>
  </conditionalFormatting>
  <conditionalFormatting sqref="Q2:Q46">
    <cfRule type="cellIs" dxfId="1" priority="2" operator="between">
      <formula>0</formula>
      <formula>365</formula>
    </cfRule>
  </conditionalFormatting>
  <dataValidations count="1">
    <dataValidation type="list" allowBlank="1" showInputMessage="1" showErrorMessage="1" errorTitle="Valor no válido" error="Selecciona un farmacéutico de la lista desplegable. No se permite introducir texto manualmente." promptTitle="Farmacéutico" prompt="Selecciona un farmacéutico de la lista." sqref="M2:M1000" xr:uid="{9B4E1477-6009-47DE-81C0-369EE29EC719}">
      <formula1>ListaFarmaceuticos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EB3E-27B7-4B31-9842-F90BF1C75C27}">
  <dimension ref="A1:E9"/>
  <sheetViews>
    <sheetView workbookViewId="0">
      <pane ySplit="4" topLeftCell="A5" activePane="bottomLeft" state="frozen"/>
      <selection pane="bottomLeft" activeCell="E9" sqref="E9"/>
    </sheetView>
  </sheetViews>
  <sheetFormatPr baseColWidth="10" defaultRowHeight="15" x14ac:dyDescent="0.25"/>
  <cols>
    <col min="1" max="1" width="8.5703125" customWidth="1"/>
    <col min="2" max="2" width="28.5703125" customWidth="1"/>
    <col min="3" max="3" width="51.42578125" customWidth="1"/>
    <col min="4" max="4" width="76.140625" customWidth="1"/>
    <col min="5" max="5" width="62.85546875" customWidth="1"/>
  </cols>
  <sheetData>
    <row r="1" spans="1:5" ht="21" x14ac:dyDescent="0.35">
      <c r="A1" s="6" t="s">
        <v>228</v>
      </c>
    </row>
    <row r="2" spans="1:5" x14ac:dyDescent="0.25">
      <c r="A2" s="7" t="s">
        <v>229</v>
      </c>
    </row>
    <row r="4" spans="1:5" x14ac:dyDescent="0.25">
      <c r="A4" s="8" t="s">
        <v>230</v>
      </c>
      <c r="B4" s="9" t="s">
        <v>231</v>
      </c>
      <c r="C4" s="9" t="s">
        <v>232</v>
      </c>
      <c r="D4" s="9" t="s">
        <v>233</v>
      </c>
      <c r="E4" s="9" t="s">
        <v>234</v>
      </c>
    </row>
    <row r="5" spans="1:5" ht="45" x14ac:dyDescent="0.25">
      <c r="A5" s="10">
        <v>1</v>
      </c>
      <c r="B5" s="11" t="s">
        <v>235</v>
      </c>
      <c r="C5" s="11" t="s">
        <v>236</v>
      </c>
      <c r="D5" s="11" t="s">
        <v>237</v>
      </c>
      <c r="E5" s="11" t="s">
        <v>238</v>
      </c>
    </row>
    <row r="6" spans="1:5" ht="30" x14ac:dyDescent="0.25">
      <c r="A6" s="12">
        <v>2</v>
      </c>
      <c r="B6" s="13" t="s">
        <v>239</v>
      </c>
      <c r="C6" s="13" t="s">
        <v>240</v>
      </c>
      <c r="D6" s="13" t="s">
        <v>241</v>
      </c>
      <c r="E6" s="13" t="s">
        <v>242</v>
      </c>
    </row>
    <row r="7" spans="1:5" ht="45" x14ac:dyDescent="0.25">
      <c r="A7" s="10">
        <v>3</v>
      </c>
      <c r="B7" s="11" t="s">
        <v>243</v>
      </c>
      <c r="C7" s="11" t="s">
        <v>244</v>
      </c>
      <c r="D7" s="11" t="s">
        <v>245</v>
      </c>
      <c r="E7" s="11" t="s">
        <v>246</v>
      </c>
    </row>
    <row r="8" spans="1:5" ht="30" x14ac:dyDescent="0.25">
      <c r="A8" s="12">
        <v>4</v>
      </c>
      <c r="B8" s="13" t="s">
        <v>247</v>
      </c>
      <c r="C8" s="13" t="s">
        <v>248</v>
      </c>
      <c r="D8" s="13" t="s">
        <v>249</v>
      </c>
      <c r="E8" s="13" t="s">
        <v>250</v>
      </c>
    </row>
    <row r="9" spans="1:5" ht="45" x14ac:dyDescent="0.25">
      <c r="A9" s="10">
        <v>5</v>
      </c>
      <c r="B9" s="11" t="s">
        <v>251</v>
      </c>
      <c r="C9" s="11" t="s">
        <v>252</v>
      </c>
      <c r="D9" s="11" t="s">
        <v>253</v>
      </c>
      <c r="E9" s="11" t="s">
        <v>254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E196-F518-49BB-B23F-F94F01D02A80}">
  <dimension ref="A1:U49"/>
  <sheetViews>
    <sheetView workbookViewId="0">
      <pane ySplit="4" topLeftCell="A5" activePane="bottomLeft" state="frozen"/>
      <selection pane="bottomLeft" activeCell="S15" sqref="S15"/>
    </sheetView>
  </sheetViews>
  <sheetFormatPr baseColWidth="10" defaultRowHeight="15" x14ac:dyDescent="0.25"/>
  <cols>
    <col min="2" max="2" width="21" customWidth="1"/>
    <col min="3" max="3" width="25.7109375" customWidth="1"/>
    <col min="4" max="4" width="31.42578125" customWidth="1"/>
    <col min="5" max="5" width="22.85546875" customWidth="1"/>
    <col min="6" max="6" width="13.28515625" customWidth="1"/>
    <col min="7" max="7" width="19" customWidth="1"/>
    <col min="8" max="8" width="20" customWidth="1"/>
    <col min="9" max="9" width="19" customWidth="1"/>
    <col min="10" max="10" width="20" customWidth="1"/>
    <col min="12" max="12" width="21" customWidth="1"/>
    <col min="13" max="13" width="22.85546875" customWidth="1"/>
    <col min="14" max="14" width="57.140625" customWidth="1"/>
    <col min="15" max="16" width="21" customWidth="1"/>
    <col min="17" max="17" width="15.28515625" customWidth="1"/>
    <col min="19" max="19" width="17.85546875" bestFit="1" customWidth="1"/>
    <col min="20" max="20" width="18.42578125" bestFit="1" customWidth="1"/>
    <col min="21" max="21" width="18" bestFit="1" customWidth="1"/>
  </cols>
  <sheetData>
    <row r="1" spans="1:21" ht="19.5" x14ac:dyDescent="0.3">
      <c r="A1" s="14" t="s">
        <v>255</v>
      </c>
    </row>
    <row r="2" spans="1:21" x14ac:dyDescent="0.25">
      <c r="A2" s="7" t="s">
        <v>256</v>
      </c>
    </row>
    <row r="3" spans="1:21" x14ac:dyDescent="0.25">
      <c r="S3" s="25" t="s">
        <v>264</v>
      </c>
    </row>
    <row r="4" spans="1:2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6" t="s">
        <v>257</v>
      </c>
      <c r="P4" s="16" t="s">
        <v>258</v>
      </c>
      <c r="Q4" s="17" t="s">
        <v>259</v>
      </c>
      <c r="S4" s="23" t="s">
        <v>261</v>
      </c>
      <c r="T4" t="s">
        <v>257</v>
      </c>
      <c r="U4" t="s">
        <v>263</v>
      </c>
    </row>
    <row r="5" spans="1:21" x14ac:dyDescent="0.25">
      <c r="A5" s="18" t="s">
        <v>14</v>
      </c>
      <c r="B5" s="19">
        <v>45691</v>
      </c>
      <c r="C5" s="18" t="s">
        <v>15</v>
      </c>
      <c r="D5" s="18" t="s">
        <v>16</v>
      </c>
      <c r="E5" s="18" t="s">
        <v>17</v>
      </c>
      <c r="F5" s="20">
        <v>30</v>
      </c>
      <c r="G5" s="18" t="s">
        <v>18</v>
      </c>
      <c r="H5" s="21">
        <v>3.2</v>
      </c>
      <c r="I5" s="21">
        <v>96</v>
      </c>
      <c r="J5" s="18" t="s">
        <v>19</v>
      </c>
      <c r="K5" s="18" t="s">
        <v>20</v>
      </c>
      <c r="L5" s="19">
        <v>46265</v>
      </c>
      <c r="M5" s="18" t="s">
        <v>21</v>
      </c>
      <c r="N5" s="18" t="s">
        <v>22</v>
      </c>
      <c r="O5" s="21">
        <f>IF(F5="","",F5*H5)</f>
        <v>96</v>
      </c>
      <c r="P5" s="20">
        <f>IF(OR(L5="",B5=""),"",L5-B5)</f>
        <v>574</v>
      </c>
      <c r="Q5" s="22" t="str">
        <f>IF(OR(F5="",I5="",F5&lt;0,H5&gt;500,AND(ISNUMBER(L5),ISNUMBER(B5),L5&lt;B5),ABS(N(I5)-N(O5))&gt;0.01),"Revisar","OK")</f>
        <v>OK</v>
      </c>
      <c r="S5" s="24" t="s">
        <v>15</v>
      </c>
      <c r="T5">
        <v>410</v>
      </c>
      <c r="U5">
        <v>8</v>
      </c>
    </row>
    <row r="6" spans="1:21" x14ac:dyDescent="0.25">
      <c r="A6" s="18" t="s">
        <v>23</v>
      </c>
      <c r="B6" s="19">
        <v>45691</v>
      </c>
      <c r="C6" s="18" t="s">
        <v>260</v>
      </c>
      <c r="D6" s="18" t="s">
        <v>25</v>
      </c>
      <c r="E6" s="18" t="s">
        <v>26</v>
      </c>
      <c r="F6" s="20">
        <v>50</v>
      </c>
      <c r="G6" s="18" t="s">
        <v>18</v>
      </c>
      <c r="H6" s="21">
        <v>2.1</v>
      </c>
      <c r="I6" s="21">
        <v>105</v>
      </c>
      <c r="J6" s="18" t="s">
        <v>27</v>
      </c>
      <c r="K6" s="18" t="s">
        <v>28</v>
      </c>
      <c r="L6" s="19">
        <v>46418</v>
      </c>
      <c r="M6" s="18" t="s">
        <v>29</v>
      </c>
      <c r="N6" s="18" t="s">
        <v>30</v>
      </c>
      <c r="O6" s="21">
        <f t="shared" ref="O6:O49" si="0">IF(F6="","",F6*H6)</f>
        <v>105</v>
      </c>
      <c r="P6" s="20">
        <f t="shared" ref="P6:P49" si="1">IF(OR(L6="",B6=""),"",L6-B6)</f>
        <v>727</v>
      </c>
      <c r="Q6" s="22" t="str">
        <f t="shared" ref="Q6:Q49" si="2">IF(OR(F6="",I6="",F6&lt;0,H6&gt;500,AND(ISNUMBER(L6),ISNUMBER(B6),L6&lt;B6),ABS(N(I6)-N(O6))&gt;0.01),"Revisar","OK")</f>
        <v>OK</v>
      </c>
      <c r="S6" s="24" t="s">
        <v>68</v>
      </c>
      <c r="T6">
        <v>140160</v>
      </c>
      <c r="U6">
        <v>5</v>
      </c>
    </row>
    <row r="7" spans="1:21" x14ac:dyDescent="0.25">
      <c r="A7" s="18" t="s">
        <v>31</v>
      </c>
      <c r="B7" s="19">
        <v>45692</v>
      </c>
      <c r="C7" s="18" t="s">
        <v>32</v>
      </c>
      <c r="D7" s="18" t="s">
        <v>33</v>
      </c>
      <c r="E7" s="18" t="s">
        <v>34</v>
      </c>
      <c r="F7" s="20">
        <v>10</v>
      </c>
      <c r="G7" s="18" t="s">
        <v>35</v>
      </c>
      <c r="H7" s="21">
        <v>4.5</v>
      </c>
      <c r="I7" s="21">
        <v>45</v>
      </c>
      <c r="J7" s="18" t="s">
        <v>36</v>
      </c>
      <c r="K7" s="18" t="s">
        <v>37</v>
      </c>
      <c r="L7" s="19">
        <v>46172</v>
      </c>
      <c r="M7" s="18" t="s">
        <v>38</v>
      </c>
      <c r="N7" s="18" t="s">
        <v>39</v>
      </c>
      <c r="O7" s="21">
        <f t="shared" si="0"/>
        <v>45</v>
      </c>
      <c r="P7" s="20">
        <f t="shared" si="1"/>
        <v>480</v>
      </c>
      <c r="Q7" s="22" t="str">
        <f t="shared" si="2"/>
        <v>OK</v>
      </c>
      <c r="S7" s="24" t="s">
        <v>88</v>
      </c>
      <c r="T7">
        <v>237.59999999999997</v>
      </c>
      <c r="U7">
        <v>4</v>
      </c>
    </row>
    <row r="8" spans="1:21" x14ac:dyDescent="0.25">
      <c r="A8" s="18" t="s">
        <v>40</v>
      </c>
      <c r="B8" s="19">
        <v>45693</v>
      </c>
      <c r="C8" s="18" t="s">
        <v>41</v>
      </c>
      <c r="D8" s="18" t="s">
        <v>42</v>
      </c>
      <c r="E8" s="18" t="s">
        <v>43</v>
      </c>
      <c r="F8" s="20">
        <v>20</v>
      </c>
      <c r="G8" s="18" t="s">
        <v>44</v>
      </c>
      <c r="H8" s="21">
        <v>1.8</v>
      </c>
      <c r="I8" s="21">
        <v>36</v>
      </c>
      <c r="J8" s="18" t="s">
        <v>19</v>
      </c>
      <c r="K8" s="18" t="s">
        <v>45</v>
      </c>
      <c r="L8" s="19">
        <v>46356</v>
      </c>
      <c r="M8" s="18" t="s">
        <v>46</v>
      </c>
      <c r="N8" s="18" t="s">
        <v>47</v>
      </c>
      <c r="O8" s="21">
        <f t="shared" si="0"/>
        <v>36</v>
      </c>
      <c r="P8" s="20">
        <f t="shared" si="1"/>
        <v>663</v>
      </c>
      <c r="Q8" s="22" t="str">
        <f t="shared" si="2"/>
        <v>OK</v>
      </c>
      <c r="S8" s="24" t="s">
        <v>56</v>
      </c>
      <c r="T8">
        <v>2241.5</v>
      </c>
      <c r="U8">
        <v>6</v>
      </c>
    </row>
    <row r="9" spans="1:21" x14ac:dyDescent="0.25">
      <c r="A9" s="18" t="s">
        <v>48</v>
      </c>
      <c r="B9" s="19">
        <v>45693</v>
      </c>
      <c r="C9" s="18" t="s">
        <v>15</v>
      </c>
      <c r="D9" s="18" t="s">
        <v>50</v>
      </c>
      <c r="E9" s="18" t="s">
        <v>51</v>
      </c>
      <c r="F9" s="20">
        <v>40</v>
      </c>
      <c r="G9" s="18" t="s">
        <v>18</v>
      </c>
      <c r="H9" s="21">
        <v>0.95</v>
      </c>
      <c r="I9" s="21">
        <v>38</v>
      </c>
      <c r="J9" s="18" t="s">
        <v>27</v>
      </c>
      <c r="K9" s="18" t="s">
        <v>52</v>
      </c>
      <c r="L9" s="19">
        <v>46295</v>
      </c>
      <c r="M9" s="18" t="s">
        <v>21</v>
      </c>
      <c r="N9" s="18" t="s">
        <v>54</v>
      </c>
      <c r="O9" s="21">
        <f t="shared" si="0"/>
        <v>38</v>
      </c>
      <c r="P9" s="20">
        <f t="shared" si="1"/>
        <v>602</v>
      </c>
      <c r="Q9" s="22" t="str">
        <f t="shared" si="2"/>
        <v>OK</v>
      </c>
      <c r="S9" s="24" t="s">
        <v>41</v>
      </c>
      <c r="T9">
        <v>159.6</v>
      </c>
      <c r="U9">
        <v>5</v>
      </c>
    </row>
    <row r="10" spans="1:21" x14ac:dyDescent="0.25">
      <c r="A10" s="18" t="s">
        <v>55</v>
      </c>
      <c r="B10" s="19">
        <v>45694</v>
      </c>
      <c r="C10" s="18" t="s">
        <v>56</v>
      </c>
      <c r="D10" s="18" t="s">
        <v>57</v>
      </c>
      <c r="E10" s="18" t="s">
        <v>58</v>
      </c>
      <c r="F10" s="20">
        <v>15</v>
      </c>
      <c r="G10" s="18" t="s">
        <v>35</v>
      </c>
      <c r="H10" s="21">
        <v>5.4</v>
      </c>
      <c r="I10" s="21">
        <v>81</v>
      </c>
      <c r="J10" s="18" t="s">
        <v>36</v>
      </c>
      <c r="K10" s="18" t="s">
        <v>59</v>
      </c>
      <c r="L10" s="19">
        <v>46112</v>
      </c>
      <c r="M10" s="18" t="s">
        <v>38</v>
      </c>
      <c r="N10" s="18" t="s">
        <v>60</v>
      </c>
      <c r="O10" s="21">
        <f t="shared" si="0"/>
        <v>81</v>
      </c>
      <c r="P10" s="20">
        <f t="shared" si="1"/>
        <v>418</v>
      </c>
      <c r="Q10" s="22" t="str">
        <f t="shared" si="2"/>
        <v>OK</v>
      </c>
      <c r="S10" s="24" t="s">
        <v>74</v>
      </c>
      <c r="T10">
        <v>478.5</v>
      </c>
      <c r="U10">
        <v>5</v>
      </c>
    </row>
    <row r="11" spans="1:21" x14ac:dyDescent="0.25">
      <c r="A11" s="18" t="s">
        <v>61</v>
      </c>
      <c r="B11" s="19">
        <v>45695</v>
      </c>
      <c r="C11" s="18" t="s">
        <v>260</v>
      </c>
      <c r="D11" s="18" t="s">
        <v>62</v>
      </c>
      <c r="E11" s="18" t="s">
        <v>63</v>
      </c>
      <c r="F11" s="20">
        <v>30</v>
      </c>
      <c r="G11" s="18" t="s">
        <v>64</v>
      </c>
      <c r="H11" s="21">
        <v>1.2</v>
      </c>
      <c r="I11" s="21">
        <v>36</v>
      </c>
      <c r="J11" s="18" t="s">
        <v>27</v>
      </c>
      <c r="K11" s="18" t="s">
        <v>65</v>
      </c>
      <c r="L11" s="19">
        <v>46507</v>
      </c>
      <c r="M11" s="18" t="s">
        <v>29</v>
      </c>
      <c r="N11" s="18" t="s">
        <v>66</v>
      </c>
      <c r="O11" s="21">
        <f t="shared" si="0"/>
        <v>36</v>
      </c>
      <c r="P11" s="20">
        <f t="shared" si="1"/>
        <v>812</v>
      </c>
      <c r="Q11" s="22" t="str">
        <f t="shared" si="2"/>
        <v>OK</v>
      </c>
      <c r="S11" s="24" t="s">
        <v>32</v>
      </c>
      <c r="T11">
        <v>504.40000000000003</v>
      </c>
      <c r="U11">
        <v>6</v>
      </c>
    </row>
    <row r="12" spans="1:21" x14ac:dyDescent="0.25">
      <c r="A12" s="18" t="s">
        <v>67</v>
      </c>
      <c r="B12" s="19">
        <v>45696</v>
      </c>
      <c r="C12" s="18" t="s">
        <v>68</v>
      </c>
      <c r="D12" s="18" t="s">
        <v>69</v>
      </c>
      <c r="E12" s="18" t="s">
        <v>70</v>
      </c>
      <c r="F12" s="20">
        <v>60</v>
      </c>
      <c r="G12" s="18" t="s">
        <v>64</v>
      </c>
      <c r="H12" s="21">
        <v>0.8</v>
      </c>
      <c r="I12" s="21">
        <v>48</v>
      </c>
      <c r="J12" s="18" t="s">
        <v>19</v>
      </c>
      <c r="K12" s="18" t="s">
        <v>71</v>
      </c>
      <c r="L12" s="19">
        <v>46387</v>
      </c>
      <c r="M12" s="18" t="s">
        <v>46</v>
      </c>
      <c r="N12" s="18" t="s">
        <v>72</v>
      </c>
      <c r="O12" s="21">
        <f t="shared" si="0"/>
        <v>48</v>
      </c>
      <c r="P12" s="20">
        <f t="shared" si="1"/>
        <v>691</v>
      </c>
      <c r="Q12" s="22" t="str">
        <f t="shared" si="2"/>
        <v>OK</v>
      </c>
      <c r="S12" s="24" t="s">
        <v>260</v>
      </c>
      <c r="T12">
        <v>257.95</v>
      </c>
      <c r="U12">
        <v>6</v>
      </c>
    </row>
    <row r="13" spans="1:21" x14ac:dyDescent="0.25">
      <c r="A13" s="18" t="s">
        <v>73</v>
      </c>
      <c r="B13" s="19">
        <v>45697</v>
      </c>
      <c r="C13" s="18" t="s">
        <v>74</v>
      </c>
      <c r="D13" s="18" t="s">
        <v>75</v>
      </c>
      <c r="E13" s="18" t="s">
        <v>76</v>
      </c>
      <c r="F13" s="20">
        <v>25</v>
      </c>
      <c r="G13" s="18" t="s">
        <v>77</v>
      </c>
      <c r="H13" s="21">
        <v>6.3</v>
      </c>
      <c r="I13" s="21">
        <v>157.5</v>
      </c>
      <c r="J13" s="18" t="s">
        <v>36</v>
      </c>
      <c r="K13" s="18" t="s">
        <v>78</v>
      </c>
      <c r="L13" s="19">
        <v>46234</v>
      </c>
      <c r="M13" s="18" t="s">
        <v>21</v>
      </c>
      <c r="N13" s="18" t="s">
        <v>79</v>
      </c>
      <c r="O13" s="21">
        <f t="shared" si="0"/>
        <v>157.5</v>
      </c>
      <c r="P13" s="20">
        <f t="shared" si="1"/>
        <v>537</v>
      </c>
      <c r="Q13" s="22" t="str">
        <f t="shared" si="2"/>
        <v>OK</v>
      </c>
      <c r="S13" s="24" t="s">
        <v>262</v>
      </c>
      <c r="T13">
        <v>144449.55000000002</v>
      </c>
      <c r="U13">
        <v>45</v>
      </c>
    </row>
    <row r="14" spans="1:21" x14ac:dyDescent="0.25">
      <c r="A14" s="18" t="s">
        <v>80</v>
      </c>
      <c r="B14" s="19">
        <v>45698</v>
      </c>
      <c r="C14" s="18" t="s">
        <v>32</v>
      </c>
      <c r="D14" s="18" t="s">
        <v>82</v>
      </c>
      <c r="E14" s="18" t="s">
        <v>83</v>
      </c>
      <c r="F14" s="20">
        <v>12</v>
      </c>
      <c r="G14" s="18" t="s">
        <v>35</v>
      </c>
      <c r="H14" s="21">
        <v>3.9</v>
      </c>
      <c r="I14" s="21">
        <v>46.8</v>
      </c>
      <c r="J14" s="18" t="s">
        <v>84</v>
      </c>
      <c r="K14" s="18" t="s">
        <v>85</v>
      </c>
      <c r="L14" s="19">
        <v>46203</v>
      </c>
      <c r="M14" s="18" t="s">
        <v>38</v>
      </c>
      <c r="N14" s="18" t="s">
        <v>86</v>
      </c>
      <c r="O14" s="21">
        <f t="shared" si="0"/>
        <v>46.8</v>
      </c>
      <c r="P14" s="20">
        <f t="shared" si="1"/>
        <v>505</v>
      </c>
      <c r="Q14" s="22" t="str">
        <f t="shared" si="2"/>
        <v>OK</v>
      </c>
    </row>
    <row r="15" spans="1:21" x14ac:dyDescent="0.25">
      <c r="A15" s="18" t="s">
        <v>87</v>
      </c>
      <c r="B15" s="19">
        <v>45699</v>
      </c>
      <c r="C15" s="18" t="s">
        <v>88</v>
      </c>
      <c r="D15" s="18" t="s">
        <v>89</v>
      </c>
      <c r="E15" s="18" t="s">
        <v>90</v>
      </c>
      <c r="F15" s="20">
        <v>18</v>
      </c>
      <c r="G15" s="18" t="s">
        <v>91</v>
      </c>
      <c r="H15" s="21">
        <v>2.75</v>
      </c>
      <c r="I15" s="21">
        <v>49.5</v>
      </c>
      <c r="J15" s="18" t="s">
        <v>19</v>
      </c>
      <c r="K15" s="18" t="s">
        <v>92</v>
      </c>
      <c r="L15" s="19">
        <v>46446</v>
      </c>
      <c r="M15" s="18" t="s">
        <v>29</v>
      </c>
      <c r="N15" s="18" t="s">
        <v>93</v>
      </c>
      <c r="O15" s="21">
        <f t="shared" si="0"/>
        <v>49.5</v>
      </c>
      <c r="P15" s="20">
        <f t="shared" si="1"/>
        <v>747</v>
      </c>
      <c r="Q15" s="22" t="str">
        <f t="shared" si="2"/>
        <v>OK</v>
      </c>
    </row>
    <row r="16" spans="1:21" x14ac:dyDescent="0.25">
      <c r="A16" s="18" t="s">
        <v>94</v>
      </c>
      <c r="B16" s="19">
        <v>45700</v>
      </c>
      <c r="C16" s="18" t="s">
        <v>15</v>
      </c>
      <c r="D16" s="18" t="s">
        <v>95</v>
      </c>
      <c r="E16" s="18" t="s">
        <v>96</v>
      </c>
      <c r="F16" s="20">
        <v>30</v>
      </c>
      <c r="G16" s="18" t="s">
        <v>18</v>
      </c>
      <c r="H16" s="21">
        <v>1.1000000000000001</v>
      </c>
      <c r="I16" s="21">
        <v>33</v>
      </c>
      <c r="J16" s="18" t="s">
        <v>27</v>
      </c>
      <c r="K16" s="18" t="s">
        <v>97</v>
      </c>
      <c r="L16" s="19">
        <v>46326</v>
      </c>
      <c r="M16" s="18" t="s">
        <v>21</v>
      </c>
      <c r="N16" s="18" t="s">
        <v>98</v>
      </c>
      <c r="O16" s="21">
        <f t="shared" si="0"/>
        <v>33</v>
      </c>
      <c r="P16" s="20">
        <f t="shared" si="1"/>
        <v>626</v>
      </c>
      <c r="Q16" s="22" t="str">
        <f t="shared" si="2"/>
        <v>OK</v>
      </c>
    </row>
    <row r="17" spans="1:17" x14ac:dyDescent="0.25">
      <c r="A17" s="18" t="s">
        <v>99</v>
      </c>
      <c r="B17" s="19">
        <v>45701</v>
      </c>
      <c r="C17" s="18" t="s">
        <v>41</v>
      </c>
      <c r="D17" s="18" t="s">
        <v>101</v>
      </c>
      <c r="E17" s="18" t="s">
        <v>102</v>
      </c>
      <c r="F17" s="20">
        <v>10</v>
      </c>
      <c r="G17" s="18" t="s">
        <v>103</v>
      </c>
      <c r="H17" s="21">
        <v>2.4</v>
      </c>
      <c r="I17" s="21">
        <v>24</v>
      </c>
      <c r="J17" s="18" t="s">
        <v>27</v>
      </c>
      <c r="K17" s="18" t="s">
        <v>104</v>
      </c>
      <c r="L17" s="19">
        <v>46142</v>
      </c>
      <c r="M17" s="18" t="s">
        <v>46</v>
      </c>
      <c r="N17" s="18" t="s">
        <v>105</v>
      </c>
      <c r="O17" s="21">
        <f t="shared" si="0"/>
        <v>24</v>
      </c>
      <c r="P17" s="20">
        <f t="shared" si="1"/>
        <v>441</v>
      </c>
      <c r="Q17" s="22" t="str">
        <f t="shared" si="2"/>
        <v>OK</v>
      </c>
    </row>
    <row r="18" spans="1:17" x14ac:dyDescent="0.25">
      <c r="A18" s="18" t="s">
        <v>106</v>
      </c>
      <c r="B18" s="19">
        <v>45702</v>
      </c>
      <c r="C18" s="18" t="s">
        <v>56</v>
      </c>
      <c r="D18" s="18" t="s">
        <v>107</v>
      </c>
      <c r="E18" s="18" t="s">
        <v>108</v>
      </c>
      <c r="F18" s="20">
        <v>8</v>
      </c>
      <c r="G18" s="18" t="s">
        <v>77</v>
      </c>
      <c r="H18" s="21">
        <v>120</v>
      </c>
      <c r="I18" s="21">
        <v>960</v>
      </c>
      <c r="J18" s="18" t="s">
        <v>84</v>
      </c>
      <c r="K18" s="18" t="s">
        <v>109</v>
      </c>
      <c r="L18" s="19">
        <v>46053</v>
      </c>
      <c r="M18" s="18" t="s">
        <v>38</v>
      </c>
      <c r="N18" s="18" t="s">
        <v>110</v>
      </c>
      <c r="O18" s="21">
        <f t="shared" si="0"/>
        <v>960</v>
      </c>
      <c r="P18" s="20">
        <f t="shared" si="1"/>
        <v>351</v>
      </c>
      <c r="Q18" s="22" t="str">
        <f t="shared" si="2"/>
        <v>OK</v>
      </c>
    </row>
    <row r="19" spans="1:17" x14ac:dyDescent="0.25">
      <c r="A19" s="18" t="s">
        <v>111</v>
      </c>
      <c r="B19" s="19">
        <v>45703</v>
      </c>
      <c r="C19" s="18" t="s">
        <v>260</v>
      </c>
      <c r="D19" s="18" t="s">
        <v>113</v>
      </c>
      <c r="E19" s="18" t="s">
        <v>114</v>
      </c>
      <c r="F19" s="20">
        <v>-5</v>
      </c>
      <c r="G19" s="18" t="s">
        <v>35</v>
      </c>
      <c r="H19" s="21">
        <v>1.95</v>
      </c>
      <c r="I19" s="21">
        <v>-9.75</v>
      </c>
      <c r="J19" s="18" t="s">
        <v>36</v>
      </c>
      <c r="K19" s="18" t="s">
        <v>115</v>
      </c>
      <c r="L19" s="19">
        <v>46265</v>
      </c>
      <c r="M19" s="18" t="s">
        <v>29</v>
      </c>
      <c r="N19" s="18" t="s">
        <v>116</v>
      </c>
      <c r="O19" s="21">
        <f t="shared" si="0"/>
        <v>-9.75</v>
      </c>
      <c r="P19" s="20">
        <f t="shared" si="1"/>
        <v>562</v>
      </c>
      <c r="Q19" s="22" t="str">
        <f t="shared" si="2"/>
        <v>Revisar</v>
      </c>
    </row>
    <row r="20" spans="1:17" x14ac:dyDescent="0.25">
      <c r="A20" s="18" t="s">
        <v>117</v>
      </c>
      <c r="B20" s="19">
        <v>45704</v>
      </c>
      <c r="C20" s="18" t="s">
        <v>68</v>
      </c>
      <c r="D20" s="18" t="s">
        <v>118</v>
      </c>
      <c r="E20" s="18" t="s">
        <v>119</v>
      </c>
      <c r="F20" s="20">
        <v>14</v>
      </c>
      <c r="G20" s="18" t="s">
        <v>120</v>
      </c>
      <c r="H20" s="21">
        <v>9999</v>
      </c>
      <c r="I20" s="21">
        <v>139986</v>
      </c>
      <c r="J20" s="18" t="s">
        <v>36</v>
      </c>
      <c r="K20" s="18" t="s">
        <v>121</v>
      </c>
      <c r="L20" s="19">
        <v>46295</v>
      </c>
      <c r="M20" s="18" t="s">
        <v>46</v>
      </c>
      <c r="N20" s="18" t="s">
        <v>122</v>
      </c>
      <c r="O20" s="21">
        <f t="shared" si="0"/>
        <v>139986</v>
      </c>
      <c r="P20" s="20">
        <f t="shared" si="1"/>
        <v>591</v>
      </c>
      <c r="Q20" s="22" t="str">
        <f t="shared" si="2"/>
        <v>Revisar</v>
      </c>
    </row>
    <row r="21" spans="1:17" x14ac:dyDescent="0.25">
      <c r="A21" s="18" t="s">
        <v>123</v>
      </c>
      <c r="B21" s="19">
        <v>45705</v>
      </c>
      <c r="C21" s="18" t="s">
        <v>74</v>
      </c>
      <c r="D21" s="18" t="s">
        <v>25</v>
      </c>
      <c r="E21" s="18" t="s">
        <v>26</v>
      </c>
      <c r="F21" s="20">
        <v>45</v>
      </c>
      <c r="G21" s="18" t="s">
        <v>18</v>
      </c>
      <c r="H21" s="21">
        <v>2.1</v>
      </c>
      <c r="I21" s="21">
        <v>94.5</v>
      </c>
      <c r="J21" s="18" t="s">
        <v>27</v>
      </c>
      <c r="K21" s="18" t="s">
        <v>28</v>
      </c>
      <c r="L21" s="19">
        <v>46418</v>
      </c>
      <c r="M21" s="18" t="s">
        <v>21</v>
      </c>
      <c r="N21" s="18" t="s">
        <v>124</v>
      </c>
      <c r="O21" s="21">
        <f t="shared" si="0"/>
        <v>94.5</v>
      </c>
      <c r="P21" s="20">
        <f t="shared" si="1"/>
        <v>713</v>
      </c>
      <c r="Q21" s="22" t="str">
        <f t="shared" si="2"/>
        <v>OK</v>
      </c>
    </row>
    <row r="22" spans="1:17" x14ac:dyDescent="0.25">
      <c r="A22" s="18" t="s">
        <v>125</v>
      </c>
      <c r="B22" s="19">
        <v>45706</v>
      </c>
      <c r="C22" s="18" t="s">
        <v>15</v>
      </c>
      <c r="D22" s="18" t="s">
        <v>127</v>
      </c>
      <c r="E22" s="18" t="s">
        <v>128</v>
      </c>
      <c r="F22" s="20">
        <v>30</v>
      </c>
      <c r="G22" s="18" t="s">
        <v>18</v>
      </c>
      <c r="H22" s="21">
        <v>1.35</v>
      </c>
      <c r="I22" s="21">
        <v>40.5</v>
      </c>
      <c r="J22" s="18" t="s">
        <v>19</v>
      </c>
      <c r="K22" s="18" t="s">
        <v>129</v>
      </c>
      <c r="L22" s="19">
        <v>46387</v>
      </c>
      <c r="M22" s="18" t="s">
        <v>38</v>
      </c>
      <c r="N22" s="18" t="s">
        <v>130</v>
      </c>
      <c r="O22" s="21">
        <f t="shared" si="0"/>
        <v>40.5</v>
      </c>
      <c r="P22" s="20">
        <f t="shared" si="1"/>
        <v>681</v>
      </c>
      <c r="Q22" s="22" t="str">
        <f t="shared" si="2"/>
        <v>OK</v>
      </c>
    </row>
    <row r="23" spans="1:17" x14ac:dyDescent="0.25">
      <c r="A23" s="18" t="s">
        <v>131</v>
      </c>
      <c r="B23" s="19">
        <v>45707</v>
      </c>
      <c r="C23" s="18" t="s">
        <v>88</v>
      </c>
      <c r="D23" s="18" t="s">
        <v>132</v>
      </c>
      <c r="E23" s="18" t="s">
        <v>133</v>
      </c>
      <c r="F23" s="20">
        <v>16</v>
      </c>
      <c r="G23" s="18" t="s">
        <v>91</v>
      </c>
      <c r="H23" s="21">
        <v>4.2</v>
      </c>
      <c r="I23" s="21">
        <v>67.2</v>
      </c>
      <c r="J23" s="18" t="s">
        <v>19</v>
      </c>
      <c r="K23" s="18" t="s">
        <v>134</v>
      </c>
      <c r="L23" s="19">
        <v>46477</v>
      </c>
      <c r="M23" s="18" t="s">
        <v>29</v>
      </c>
      <c r="N23" s="18" t="s">
        <v>135</v>
      </c>
      <c r="O23" s="21">
        <f t="shared" si="0"/>
        <v>67.2</v>
      </c>
      <c r="P23" s="20">
        <f t="shared" si="1"/>
        <v>770</v>
      </c>
      <c r="Q23" s="22" t="str">
        <f t="shared" si="2"/>
        <v>OK</v>
      </c>
    </row>
    <row r="24" spans="1:17" x14ac:dyDescent="0.25">
      <c r="A24" s="18" t="s">
        <v>136</v>
      </c>
      <c r="B24" s="19">
        <v>45708</v>
      </c>
      <c r="C24" s="18" t="s">
        <v>32</v>
      </c>
      <c r="D24" s="18" t="s">
        <v>137</v>
      </c>
      <c r="E24" s="18" t="s">
        <v>138</v>
      </c>
      <c r="F24" s="20">
        <v>20</v>
      </c>
      <c r="G24" s="18" t="s">
        <v>139</v>
      </c>
      <c r="H24" s="21">
        <v>7.8</v>
      </c>
      <c r="I24" s="21">
        <v>156</v>
      </c>
      <c r="J24" s="18" t="s">
        <v>84</v>
      </c>
      <c r="K24" s="18" t="s">
        <v>140</v>
      </c>
      <c r="L24" s="19">
        <v>46173</v>
      </c>
      <c r="M24" s="18" t="s">
        <v>46</v>
      </c>
      <c r="N24" s="18" t="s">
        <v>141</v>
      </c>
      <c r="O24" s="21">
        <f t="shared" si="0"/>
        <v>156</v>
      </c>
      <c r="P24" s="20">
        <f t="shared" si="1"/>
        <v>465</v>
      </c>
      <c r="Q24" s="22" t="str">
        <f t="shared" si="2"/>
        <v>OK</v>
      </c>
    </row>
    <row r="25" spans="1:17" x14ac:dyDescent="0.25">
      <c r="A25" s="18" t="s">
        <v>142</v>
      </c>
      <c r="B25" s="19">
        <v>45709</v>
      </c>
      <c r="C25" s="18" t="s">
        <v>56</v>
      </c>
      <c r="D25" s="18" t="s">
        <v>57</v>
      </c>
      <c r="E25" s="18" t="s">
        <v>58</v>
      </c>
      <c r="F25" s="20">
        <v>15</v>
      </c>
      <c r="G25" s="18" t="s">
        <v>35</v>
      </c>
      <c r="H25" s="21">
        <v>5.4</v>
      </c>
      <c r="I25" s="21">
        <v>81</v>
      </c>
      <c r="J25" s="18" t="s">
        <v>36</v>
      </c>
      <c r="K25" s="18" t="s">
        <v>59</v>
      </c>
      <c r="L25" s="19">
        <v>46112</v>
      </c>
      <c r="M25" s="18" t="s">
        <v>21</v>
      </c>
      <c r="N25" s="18" t="s">
        <v>143</v>
      </c>
      <c r="O25" s="21">
        <f t="shared" si="0"/>
        <v>81</v>
      </c>
      <c r="P25" s="20">
        <f t="shared" si="1"/>
        <v>403</v>
      </c>
      <c r="Q25" s="22" t="str">
        <f t="shared" si="2"/>
        <v>OK</v>
      </c>
    </row>
    <row r="26" spans="1:17" x14ac:dyDescent="0.25">
      <c r="A26" s="18" t="s">
        <v>144</v>
      </c>
      <c r="B26" s="19">
        <v>45710</v>
      </c>
      <c r="C26" s="18" t="s">
        <v>260</v>
      </c>
      <c r="D26" s="18" t="s">
        <v>145</v>
      </c>
      <c r="E26" s="18" t="s">
        <v>146</v>
      </c>
      <c r="F26" s="20">
        <v>22</v>
      </c>
      <c r="G26" s="18" t="s">
        <v>139</v>
      </c>
      <c r="H26" s="21">
        <v>3.1</v>
      </c>
      <c r="I26" s="21">
        <v>68.2</v>
      </c>
      <c r="J26" s="18" t="s">
        <v>27</v>
      </c>
      <c r="K26" s="18" t="s">
        <v>147</v>
      </c>
      <c r="L26" s="19">
        <v>46356</v>
      </c>
      <c r="M26" s="18" t="s">
        <v>38</v>
      </c>
      <c r="N26" s="18" t="s">
        <v>148</v>
      </c>
      <c r="O26" s="21">
        <f t="shared" si="0"/>
        <v>68.2</v>
      </c>
      <c r="P26" s="20">
        <f t="shared" si="1"/>
        <v>646</v>
      </c>
      <c r="Q26" s="22" t="str">
        <f t="shared" si="2"/>
        <v>OK</v>
      </c>
    </row>
    <row r="27" spans="1:17" x14ac:dyDescent="0.25">
      <c r="A27" s="18" t="s">
        <v>149</v>
      </c>
      <c r="B27" s="19">
        <v>45711</v>
      </c>
      <c r="C27" s="18" t="s">
        <v>41</v>
      </c>
      <c r="D27" s="18" t="s">
        <v>42</v>
      </c>
      <c r="E27" s="18" t="s">
        <v>43</v>
      </c>
      <c r="F27" s="20">
        <v>20</v>
      </c>
      <c r="G27" s="18" t="s">
        <v>44</v>
      </c>
      <c r="H27" s="21">
        <v>1.8</v>
      </c>
      <c r="I27" s="21">
        <v>180</v>
      </c>
      <c r="J27" s="18" t="s">
        <v>19</v>
      </c>
      <c r="K27" s="18" t="s">
        <v>45</v>
      </c>
      <c r="L27" s="19">
        <v>46356</v>
      </c>
      <c r="M27" s="18" t="s">
        <v>29</v>
      </c>
      <c r="N27" s="18" t="s">
        <v>150</v>
      </c>
      <c r="O27" s="21">
        <f t="shared" si="0"/>
        <v>36</v>
      </c>
      <c r="P27" s="20">
        <f t="shared" si="1"/>
        <v>645</v>
      </c>
      <c r="Q27" s="22" t="str">
        <f t="shared" si="2"/>
        <v>Revisar</v>
      </c>
    </row>
    <row r="28" spans="1:17" x14ac:dyDescent="0.25">
      <c r="A28" s="18" t="s">
        <v>151</v>
      </c>
      <c r="B28" s="19">
        <v>45712</v>
      </c>
      <c r="C28" s="18" t="s">
        <v>68</v>
      </c>
      <c r="D28" s="18" t="s">
        <v>152</v>
      </c>
      <c r="E28" s="18" t="s">
        <v>153</v>
      </c>
      <c r="F28" s="20">
        <v>90</v>
      </c>
      <c r="G28" s="18" t="s">
        <v>18</v>
      </c>
      <c r="H28" s="21">
        <v>0.7</v>
      </c>
      <c r="I28" s="21">
        <v>63</v>
      </c>
      <c r="J28" s="18" t="s">
        <v>27</v>
      </c>
      <c r="K28" s="18" t="s">
        <v>154</v>
      </c>
      <c r="L28" s="19">
        <v>46538</v>
      </c>
      <c r="M28" s="18" t="s">
        <v>46</v>
      </c>
      <c r="N28" s="18" t="s">
        <v>155</v>
      </c>
      <c r="O28" s="21">
        <f t="shared" si="0"/>
        <v>62.999999999999993</v>
      </c>
      <c r="P28" s="20">
        <f t="shared" si="1"/>
        <v>826</v>
      </c>
      <c r="Q28" s="22" t="str">
        <f t="shared" si="2"/>
        <v>OK</v>
      </c>
    </row>
    <row r="29" spans="1:17" x14ac:dyDescent="0.25">
      <c r="A29" s="18" t="s">
        <v>156</v>
      </c>
      <c r="B29" s="19">
        <v>45713</v>
      </c>
      <c r="C29" s="18" t="s">
        <v>15</v>
      </c>
      <c r="D29" s="18" t="s">
        <v>157</v>
      </c>
      <c r="E29" s="18" t="s">
        <v>158</v>
      </c>
      <c r="F29" s="20">
        <v>30</v>
      </c>
      <c r="G29" s="18" t="s">
        <v>18</v>
      </c>
      <c r="H29" s="21">
        <v>1.05</v>
      </c>
      <c r="I29" s="21">
        <v>31.5</v>
      </c>
      <c r="J29" s="18" t="s">
        <v>19</v>
      </c>
      <c r="K29" s="18" t="s">
        <v>159</v>
      </c>
      <c r="L29" s="19">
        <v>46326</v>
      </c>
      <c r="M29" s="18" t="s">
        <v>21</v>
      </c>
      <c r="N29" s="18" t="s">
        <v>161</v>
      </c>
      <c r="O29" s="21">
        <f t="shared" si="0"/>
        <v>31.5</v>
      </c>
      <c r="P29" s="20">
        <f t="shared" si="1"/>
        <v>613</v>
      </c>
      <c r="Q29" s="22" t="str">
        <f t="shared" si="2"/>
        <v>OK</v>
      </c>
    </row>
    <row r="30" spans="1:17" x14ac:dyDescent="0.25">
      <c r="A30" s="18" t="s">
        <v>162</v>
      </c>
      <c r="B30" s="19">
        <v>45714</v>
      </c>
      <c r="C30" s="18" t="s">
        <v>74</v>
      </c>
      <c r="D30" s="18" t="s">
        <v>75</v>
      </c>
      <c r="E30" s="18" t="s">
        <v>76</v>
      </c>
      <c r="F30" s="20">
        <v>25</v>
      </c>
      <c r="G30" s="18" t="s">
        <v>77</v>
      </c>
      <c r="H30" s="21">
        <v>6.3</v>
      </c>
      <c r="I30" s="21">
        <v>157.5</v>
      </c>
      <c r="J30" s="18" t="s">
        <v>36</v>
      </c>
      <c r="K30" s="18" t="s">
        <v>78</v>
      </c>
      <c r="L30" s="19">
        <v>45322</v>
      </c>
      <c r="M30" s="18" t="s">
        <v>38</v>
      </c>
      <c r="N30" s="18" t="s">
        <v>163</v>
      </c>
      <c r="O30" s="21">
        <f t="shared" si="0"/>
        <v>157.5</v>
      </c>
      <c r="P30" s="20">
        <f t="shared" si="1"/>
        <v>-392</v>
      </c>
      <c r="Q30" s="22" t="str">
        <f t="shared" si="2"/>
        <v>Revisar</v>
      </c>
    </row>
    <row r="31" spans="1:17" x14ac:dyDescent="0.25">
      <c r="A31" s="18" t="s">
        <v>164</v>
      </c>
      <c r="B31" s="19">
        <v>45715</v>
      </c>
      <c r="C31" s="18" t="s">
        <v>88</v>
      </c>
      <c r="D31" s="18" t="s">
        <v>89</v>
      </c>
      <c r="E31" s="18" t="s">
        <v>90</v>
      </c>
      <c r="F31" s="20">
        <v>18</v>
      </c>
      <c r="G31" s="18" t="s">
        <v>91</v>
      </c>
      <c r="H31" s="21">
        <v>2.75</v>
      </c>
      <c r="I31" s="21">
        <v>49.5</v>
      </c>
      <c r="J31" s="18"/>
      <c r="K31" s="18" t="s">
        <v>92</v>
      </c>
      <c r="L31" s="19">
        <v>46446</v>
      </c>
      <c r="M31" s="18" t="s">
        <v>29</v>
      </c>
      <c r="N31" s="18" t="s">
        <v>165</v>
      </c>
      <c r="O31" s="21">
        <f t="shared" si="0"/>
        <v>49.5</v>
      </c>
      <c r="P31" s="20">
        <f t="shared" si="1"/>
        <v>731</v>
      </c>
      <c r="Q31" s="22" t="str">
        <f t="shared" si="2"/>
        <v>OK</v>
      </c>
    </row>
    <row r="32" spans="1:17" x14ac:dyDescent="0.25">
      <c r="A32" s="18" t="s">
        <v>166</v>
      </c>
      <c r="B32" s="19">
        <v>45716</v>
      </c>
      <c r="C32" s="18" t="s">
        <v>32</v>
      </c>
      <c r="D32" s="18" t="s">
        <v>167</v>
      </c>
      <c r="E32" s="18" t="s">
        <v>168</v>
      </c>
      <c r="F32" s="20">
        <v>16</v>
      </c>
      <c r="G32" s="18" t="s">
        <v>35</v>
      </c>
      <c r="H32" s="21">
        <v>2.6</v>
      </c>
      <c r="I32" s="21">
        <v>41.6</v>
      </c>
      <c r="J32" s="18" t="s">
        <v>84</v>
      </c>
      <c r="K32" s="18" t="s">
        <v>169</v>
      </c>
      <c r="L32" s="19">
        <v>46234</v>
      </c>
      <c r="M32" s="18" t="s">
        <v>46</v>
      </c>
      <c r="N32" s="18" t="s">
        <v>170</v>
      </c>
      <c r="O32" s="21">
        <f t="shared" si="0"/>
        <v>41.6</v>
      </c>
      <c r="P32" s="20">
        <f t="shared" si="1"/>
        <v>518</v>
      </c>
      <c r="Q32" s="22" t="str">
        <f t="shared" si="2"/>
        <v>OK</v>
      </c>
    </row>
    <row r="33" spans="1:17" x14ac:dyDescent="0.25">
      <c r="A33" s="18" t="s">
        <v>171</v>
      </c>
      <c r="B33" s="19">
        <v>45717</v>
      </c>
      <c r="C33" s="18" t="s">
        <v>56</v>
      </c>
      <c r="D33" s="18" t="s">
        <v>172</v>
      </c>
      <c r="E33" s="18" t="s">
        <v>173</v>
      </c>
      <c r="F33" s="20">
        <v>40</v>
      </c>
      <c r="G33" s="18" t="s">
        <v>18</v>
      </c>
      <c r="H33" s="21">
        <v>0.55000000000000004</v>
      </c>
      <c r="I33" s="21">
        <v>22</v>
      </c>
      <c r="J33" s="18" t="s">
        <v>27</v>
      </c>
      <c r="K33" s="18" t="s">
        <v>174</v>
      </c>
      <c r="L33" s="19">
        <v>46295</v>
      </c>
      <c r="M33" s="18" t="s">
        <v>21</v>
      </c>
      <c r="N33" s="18" t="s">
        <v>175</v>
      </c>
      <c r="O33" s="21">
        <f t="shared" si="0"/>
        <v>22</v>
      </c>
      <c r="P33" s="20">
        <f t="shared" si="1"/>
        <v>578</v>
      </c>
      <c r="Q33" s="22" t="str">
        <f t="shared" si="2"/>
        <v>OK</v>
      </c>
    </row>
    <row r="34" spans="1:17" x14ac:dyDescent="0.25">
      <c r="A34" s="18" t="s">
        <v>176</v>
      </c>
      <c r="B34" s="19">
        <v>45717</v>
      </c>
      <c r="C34" s="18" t="s">
        <v>260</v>
      </c>
      <c r="D34" s="18" t="s">
        <v>177</v>
      </c>
      <c r="E34" s="18" t="s">
        <v>178</v>
      </c>
      <c r="F34" s="20">
        <v>25</v>
      </c>
      <c r="G34" s="18" t="s">
        <v>18</v>
      </c>
      <c r="H34" s="21">
        <v>0.9</v>
      </c>
      <c r="I34" s="21">
        <v>22.5</v>
      </c>
      <c r="J34" s="18" t="s">
        <v>19</v>
      </c>
      <c r="K34" s="18" t="s">
        <v>179</v>
      </c>
      <c r="L34" s="19">
        <v>46418</v>
      </c>
      <c r="M34" s="18" t="s">
        <v>38</v>
      </c>
      <c r="N34" s="18" t="s">
        <v>180</v>
      </c>
      <c r="O34" s="21">
        <f t="shared" si="0"/>
        <v>22.5</v>
      </c>
      <c r="P34" s="20">
        <f t="shared" si="1"/>
        <v>701</v>
      </c>
      <c r="Q34" s="22" t="str">
        <f t="shared" si="2"/>
        <v>OK</v>
      </c>
    </row>
    <row r="35" spans="1:17" x14ac:dyDescent="0.25">
      <c r="A35" s="18" t="s">
        <v>181</v>
      </c>
      <c r="B35" s="19">
        <v>45718</v>
      </c>
      <c r="C35" s="18" t="s">
        <v>15</v>
      </c>
      <c r="D35" s="18" t="s">
        <v>182</v>
      </c>
      <c r="E35" s="18" t="s">
        <v>183</v>
      </c>
      <c r="F35" s="20">
        <v>30</v>
      </c>
      <c r="G35" s="18" t="s">
        <v>18</v>
      </c>
      <c r="H35" s="21">
        <v>1.25</v>
      </c>
      <c r="I35" s="21">
        <v>37.5</v>
      </c>
      <c r="J35" s="18" t="s">
        <v>27</v>
      </c>
      <c r="K35" s="18" t="s">
        <v>184</v>
      </c>
      <c r="L35" s="19">
        <v>46387</v>
      </c>
      <c r="M35" s="18" t="s">
        <v>29</v>
      </c>
      <c r="N35" s="18" t="s">
        <v>185</v>
      </c>
      <c r="O35" s="21">
        <f t="shared" si="0"/>
        <v>37.5</v>
      </c>
      <c r="P35" s="20">
        <f t="shared" si="1"/>
        <v>669</v>
      </c>
      <c r="Q35" s="22" t="str">
        <f t="shared" si="2"/>
        <v>OK</v>
      </c>
    </row>
    <row r="36" spans="1:17" x14ac:dyDescent="0.25">
      <c r="A36" s="18" t="s">
        <v>186</v>
      </c>
      <c r="B36" s="19">
        <v>45719</v>
      </c>
      <c r="C36" s="18" t="s">
        <v>41</v>
      </c>
      <c r="D36" s="18" t="s">
        <v>187</v>
      </c>
      <c r="E36" s="18" t="s">
        <v>26</v>
      </c>
      <c r="F36" s="20">
        <v>12</v>
      </c>
      <c r="G36" s="18" t="s">
        <v>103</v>
      </c>
      <c r="H36" s="21">
        <v>2.2999999999999998</v>
      </c>
      <c r="I36" s="21">
        <v>27.6</v>
      </c>
      <c r="J36" s="18" t="s">
        <v>27</v>
      </c>
      <c r="K36" s="18" t="s">
        <v>188</v>
      </c>
      <c r="L36" s="19">
        <v>46203</v>
      </c>
      <c r="M36" s="18" t="s">
        <v>46</v>
      </c>
      <c r="N36" s="18" t="s">
        <v>189</v>
      </c>
      <c r="O36" s="21">
        <f t="shared" si="0"/>
        <v>27.599999999999998</v>
      </c>
      <c r="P36" s="20">
        <f t="shared" si="1"/>
        <v>484</v>
      </c>
      <c r="Q36" s="22" t="str">
        <f t="shared" si="2"/>
        <v>OK</v>
      </c>
    </row>
    <row r="37" spans="1:17" x14ac:dyDescent="0.25">
      <c r="A37" s="18" t="s">
        <v>190</v>
      </c>
      <c r="B37" s="19">
        <v>45720</v>
      </c>
      <c r="C37" s="18" t="s">
        <v>68</v>
      </c>
      <c r="D37" s="18" t="s">
        <v>69</v>
      </c>
      <c r="E37" s="18" t="s">
        <v>70</v>
      </c>
      <c r="F37" s="20"/>
      <c r="G37" s="18" t="s">
        <v>64</v>
      </c>
      <c r="H37" s="21">
        <v>0.8</v>
      </c>
      <c r="I37" s="21"/>
      <c r="J37" s="18" t="s">
        <v>19</v>
      </c>
      <c r="K37" s="18" t="s">
        <v>71</v>
      </c>
      <c r="L37" s="19">
        <v>46387</v>
      </c>
      <c r="M37" s="18" t="s">
        <v>21</v>
      </c>
      <c r="N37" s="18" t="s">
        <v>191</v>
      </c>
      <c r="O37" s="21" t="str">
        <f t="shared" si="0"/>
        <v/>
      </c>
      <c r="P37" s="20">
        <f t="shared" si="1"/>
        <v>667</v>
      </c>
      <c r="Q37" s="22" t="str">
        <f t="shared" si="2"/>
        <v>Revisar</v>
      </c>
    </row>
    <row r="38" spans="1:17" x14ac:dyDescent="0.25">
      <c r="A38" s="18" t="s">
        <v>192</v>
      </c>
      <c r="B38" s="19">
        <v>45721</v>
      </c>
      <c r="C38" s="18" t="s">
        <v>74</v>
      </c>
      <c r="D38" s="18" t="s">
        <v>193</v>
      </c>
      <c r="E38" s="18" t="s">
        <v>194</v>
      </c>
      <c r="F38" s="20">
        <v>30</v>
      </c>
      <c r="G38" s="18" t="s">
        <v>64</v>
      </c>
      <c r="H38" s="21">
        <v>1.1499999999999999</v>
      </c>
      <c r="I38" s="21">
        <v>34.5</v>
      </c>
      <c r="J38" s="18" t="s">
        <v>36</v>
      </c>
      <c r="K38" s="18" t="s">
        <v>195</v>
      </c>
      <c r="L38" s="19">
        <v>46265</v>
      </c>
      <c r="M38" s="18" t="s">
        <v>38</v>
      </c>
      <c r="N38" s="18" t="s">
        <v>196</v>
      </c>
      <c r="O38" s="21">
        <f t="shared" si="0"/>
        <v>34.5</v>
      </c>
      <c r="P38" s="20">
        <f t="shared" si="1"/>
        <v>544</v>
      </c>
      <c r="Q38" s="22" t="str">
        <f t="shared" si="2"/>
        <v>OK</v>
      </c>
    </row>
    <row r="39" spans="1:17" x14ac:dyDescent="0.25">
      <c r="A39" s="18" t="s">
        <v>197</v>
      </c>
      <c r="B39" s="19">
        <v>45722</v>
      </c>
      <c r="C39" s="18" t="s">
        <v>32</v>
      </c>
      <c r="D39" s="18" t="s">
        <v>198</v>
      </c>
      <c r="E39" s="18" t="s">
        <v>199</v>
      </c>
      <c r="F39" s="20">
        <v>20</v>
      </c>
      <c r="G39" s="18" t="s">
        <v>139</v>
      </c>
      <c r="H39" s="21">
        <v>2.95</v>
      </c>
      <c r="I39" s="21">
        <v>59</v>
      </c>
      <c r="J39" s="18" t="s">
        <v>84</v>
      </c>
      <c r="K39" s="18" t="s">
        <v>200</v>
      </c>
      <c r="L39" s="19">
        <v>46173</v>
      </c>
      <c r="M39" s="18" t="s">
        <v>29</v>
      </c>
      <c r="N39" s="18" t="s">
        <v>201</v>
      </c>
      <c r="O39" s="21">
        <f t="shared" si="0"/>
        <v>59</v>
      </c>
      <c r="P39" s="20">
        <f t="shared" si="1"/>
        <v>451</v>
      </c>
      <c r="Q39" s="22" t="str">
        <f t="shared" si="2"/>
        <v>OK</v>
      </c>
    </row>
    <row r="40" spans="1:17" x14ac:dyDescent="0.25">
      <c r="A40" s="18" t="s">
        <v>202</v>
      </c>
      <c r="B40" s="19">
        <v>45723</v>
      </c>
      <c r="C40" s="18" t="s">
        <v>56</v>
      </c>
      <c r="D40" s="18" t="s">
        <v>107</v>
      </c>
      <c r="E40" s="18" t="s">
        <v>108</v>
      </c>
      <c r="F40" s="20">
        <v>8</v>
      </c>
      <c r="G40" s="18" t="s">
        <v>77</v>
      </c>
      <c r="H40" s="21">
        <v>120</v>
      </c>
      <c r="I40" s="21">
        <v>960</v>
      </c>
      <c r="J40" s="18" t="s">
        <v>84</v>
      </c>
      <c r="K40" s="18" t="s">
        <v>109</v>
      </c>
      <c r="L40" s="19">
        <v>46053</v>
      </c>
      <c r="M40" s="18" t="s">
        <v>46</v>
      </c>
      <c r="N40" s="18" t="s">
        <v>203</v>
      </c>
      <c r="O40" s="21">
        <f t="shared" si="0"/>
        <v>960</v>
      </c>
      <c r="P40" s="20">
        <f t="shared" si="1"/>
        <v>330</v>
      </c>
      <c r="Q40" s="22" t="str">
        <f t="shared" si="2"/>
        <v>OK</v>
      </c>
    </row>
    <row r="41" spans="1:17" x14ac:dyDescent="0.25">
      <c r="A41" s="18" t="s">
        <v>204</v>
      </c>
      <c r="B41" s="19">
        <v>45724</v>
      </c>
      <c r="C41" s="18" t="s">
        <v>88</v>
      </c>
      <c r="D41" s="18" t="s">
        <v>205</v>
      </c>
      <c r="E41" s="18" t="s">
        <v>206</v>
      </c>
      <c r="F41" s="20">
        <v>14</v>
      </c>
      <c r="G41" s="18" t="s">
        <v>91</v>
      </c>
      <c r="H41" s="21">
        <v>5.0999999999999996</v>
      </c>
      <c r="I41" s="21">
        <v>71.400000000000006</v>
      </c>
      <c r="J41" s="18" t="s">
        <v>19</v>
      </c>
      <c r="K41" s="18" t="s">
        <v>207</v>
      </c>
      <c r="L41" s="19">
        <v>46507</v>
      </c>
      <c r="M41" s="18" t="s">
        <v>21</v>
      </c>
      <c r="N41" s="18" t="s">
        <v>208</v>
      </c>
      <c r="O41" s="21">
        <f t="shared" si="0"/>
        <v>71.399999999999991</v>
      </c>
      <c r="P41" s="20">
        <f t="shared" si="1"/>
        <v>783</v>
      </c>
      <c r="Q41" s="22" t="str">
        <f t="shared" si="2"/>
        <v>OK</v>
      </c>
    </row>
    <row r="42" spans="1:17" x14ac:dyDescent="0.25">
      <c r="A42" s="18" t="s">
        <v>209</v>
      </c>
      <c r="B42" s="19">
        <v>45725</v>
      </c>
      <c r="C42" s="18" t="s">
        <v>15</v>
      </c>
      <c r="D42" s="18" t="s">
        <v>16</v>
      </c>
      <c r="E42" s="18" t="s">
        <v>17</v>
      </c>
      <c r="F42" s="20">
        <v>30</v>
      </c>
      <c r="G42" s="18" t="s">
        <v>18</v>
      </c>
      <c r="H42" s="21">
        <v>3.2</v>
      </c>
      <c r="I42" s="21">
        <v>96</v>
      </c>
      <c r="J42" s="18" t="s">
        <v>19</v>
      </c>
      <c r="K42" s="18" t="s">
        <v>20</v>
      </c>
      <c r="L42" s="19">
        <v>46265</v>
      </c>
      <c r="M42" s="18" t="s">
        <v>38</v>
      </c>
      <c r="N42" s="18" t="s">
        <v>211</v>
      </c>
      <c r="O42" s="21">
        <f t="shared" si="0"/>
        <v>96</v>
      </c>
      <c r="P42" s="20">
        <f t="shared" si="1"/>
        <v>540</v>
      </c>
      <c r="Q42" s="22" t="str">
        <f t="shared" si="2"/>
        <v>OK</v>
      </c>
    </row>
    <row r="43" spans="1:17" x14ac:dyDescent="0.25">
      <c r="A43" s="18" t="s">
        <v>212</v>
      </c>
      <c r="B43" s="19">
        <v>45726</v>
      </c>
      <c r="C43" s="18" t="s">
        <v>260</v>
      </c>
      <c r="D43" s="18" t="s">
        <v>62</v>
      </c>
      <c r="E43" s="18" t="s">
        <v>63</v>
      </c>
      <c r="F43" s="20">
        <v>30</v>
      </c>
      <c r="G43" s="18" t="s">
        <v>64</v>
      </c>
      <c r="H43" s="21">
        <v>1.2</v>
      </c>
      <c r="I43" s="21">
        <v>36</v>
      </c>
      <c r="J43" s="18" t="s">
        <v>27</v>
      </c>
      <c r="K43" s="18" t="s">
        <v>65</v>
      </c>
      <c r="L43" s="19">
        <v>46507</v>
      </c>
      <c r="M43" s="18" t="s">
        <v>29</v>
      </c>
      <c r="N43" s="18" t="s">
        <v>213</v>
      </c>
      <c r="O43" s="21">
        <f t="shared" si="0"/>
        <v>36</v>
      </c>
      <c r="P43" s="20">
        <f t="shared" si="1"/>
        <v>781</v>
      </c>
      <c r="Q43" s="22" t="str">
        <f t="shared" si="2"/>
        <v>OK</v>
      </c>
    </row>
    <row r="44" spans="1:17" x14ac:dyDescent="0.25">
      <c r="A44" s="18" t="s">
        <v>214</v>
      </c>
      <c r="B44" s="19">
        <v>45727</v>
      </c>
      <c r="C44" s="18" t="s">
        <v>41</v>
      </c>
      <c r="D44" s="18" t="s">
        <v>42</v>
      </c>
      <c r="E44" s="18" t="s">
        <v>43</v>
      </c>
      <c r="F44" s="20">
        <v>20</v>
      </c>
      <c r="G44" s="18" t="s">
        <v>44</v>
      </c>
      <c r="H44" s="21">
        <v>1.8</v>
      </c>
      <c r="I44" s="21">
        <v>36</v>
      </c>
      <c r="J44" s="18" t="s">
        <v>19</v>
      </c>
      <c r="K44" s="18" t="s">
        <v>45</v>
      </c>
      <c r="L44" s="19">
        <v>46356</v>
      </c>
      <c r="M44" s="18" t="s">
        <v>46</v>
      </c>
      <c r="N44" s="18" t="s">
        <v>215</v>
      </c>
      <c r="O44" s="21">
        <f t="shared" si="0"/>
        <v>36</v>
      </c>
      <c r="P44" s="20">
        <f t="shared" si="1"/>
        <v>629</v>
      </c>
      <c r="Q44" s="22" t="str">
        <f t="shared" si="2"/>
        <v>OK</v>
      </c>
    </row>
    <row r="45" spans="1:17" x14ac:dyDescent="0.25">
      <c r="A45" s="18" t="s">
        <v>216</v>
      </c>
      <c r="B45" s="19">
        <v>45728</v>
      </c>
      <c r="C45" s="18" t="s">
        <v>68</v>
      </c>
      <c r="D45" s="18" t="s">
        <v>152</v>
      </c>
      <c r="E45" s="18" t="s">
        <v>153</v>
      </c>
      <c r="F45" s="20">
        <v>90</v>
      </c>
      <c r="G45" s="18" t="s">
        <v>18</v>
      </c>
      <c r="H45" s="21">
        <v>0.7</v>
      </c>
      <c r="I45" s="21">
        <v>63</v>
      </c>
      <c r="J45" s="18" t="s">
        <v>27</v>
      </c>
      <c r="K45" s="18" t="s">
        <v>154</v>
      </c>
      <c r="L45" s="19">
        <v>46538</v>
      </c>
      <c r="M45" s="18" t="s">
        <v>21</v>
      </c>
      <c r="N45" s="18" t="s">
        <v>217</v>
      </c>
      <c r="O45" s="21">
        <f t="shared" si="0"/>
        <v>62.999999999999993</v>
      </c>
      <c r="P45" s="20">
        <f t="shared" si="1"/>
        <v>810</v>
      </c>
      <c r="Q45" s="22" t="str">
        <f t="shared" si="2"/>
        <v>OK</v>
      </c>
    </row>
    <row r="46" spans="1:17" x14ac:dyDescent="0.25">
      <c r="A46" s="18" t="s">
        <v>218</v>
      </c>
      <c r="B46" s="19">
        <v>45729</v>
      </c>
      <c r="C46" s="18" t="s">
        <v>56</v>
      </c>
      <c r="D46" s="18" t="s">
        <v>172</v>
      </c>
      <c r="E46" s="18" t="s">
        <v>173</v>
      </c>
      <c r="F46" s="20">
        <v>250</v>
      </c>
      <c r="G46" s="18" t="s">
        <v>18</v>
      </c>
      <c r="H46" s="21">
        <v>0.55000000000000004</v>
      </c>
      <c r="I46" s="21">
        <v>137.5</v>
      </c>
      <c r="J46" s="18" t="s">
        <v>27</v>
      </c>
      <c r="K46" s="18" t="s">
        <v>174</v>
      </c>
      <c r="L46" s="19">
        <v>46295</v>
      </c>
      <c r="M46" s="18" t="s">
        <v>38</v>
      </c>
      <c r="N46" s="18" t="s">
        <v>219</v>
      </c>
      <c r="O46" s="21">
        <f t="shared" si="0"/>
        <v>137.5</v>
      </c>
      <c r="P46" s="20">
        <f t="shared" si="1"/>
        <v>566</v>
      </c>
      <c r="Q46" s="22" t="str">
        <f t="shared" si="2"/>
        <v>OK</v>
      </c>
    </row>
    <row r="47" spans="1:17" x14ac:dyDescent="0.25">
      <c r="A47" s="18" t="s">
        <v>220</v>
      </c>
      <c r="B47" s="19">
        <v>45730</v>
      </c>
      <c r="C47" s="18" t="s">
        <v>32</v>
      </c>
      <c r="D47" s="18" t="s">
        <v>137</v>
      </c>
      <c r="E47" s="18" t="s">
        <v>138</v>
      </c>
      <c r="F47" s="20">
        <v>20</v>
      </c>
      <c r="G47" s="18" t="s">
        <v>139</v>
      </c>
      <c r="H47" s="21">
        <v>7.8</v>
      </c>
      <c r="I47" s="21">
        <v>156</v>
      </c>
      <c r="J47" s="18" t="s">
        <v>84</v>
      </c>
      <c r="K47" s="18" t="s">
        <v>140</v>
      </c>
      <c r="L47" s="19">
        <v>46173</v>
      </c>
      <c r="M47" s="18" t="s">
        <v>29</v>
      </c>
      <c r="N47" s="18" t="s">
        <v>221</v>
      </c>
      <c r="O47" s="21">
        <f t="shared" si="0"/>
        <v>156</v>
      </c>
      <c r="P47" s="20">
        <f t="shared" si="1"/>
        <v>443</v>
      </c>
      <c r="Q47" s="22" t="str">
        <f t="shared" si="2"/>
        <v>OK</v>
      </c>
    </row>
    <row r="48" spans="1:17" x14ac:dyDescent="0.25">
      <c r="A48" s="18" t="s">
        <v>222</v>
      </c>
      <c r="B48" s="19">
        <v>45731</v>
      </c>
      <c r="C48" s="18" t="s">
        <v>74</v>
      </c>
      <c r="D48" s="18" t="s">
        <v>193</v>
      </c>
      <c r="E48" s="18" t="s">
        <v>194</v>
      </c>
      <c r="F48" s="20">
        <v>30</v>
      </c>
      <c r="G48" s="18" t="s">
        <v>64</v>
      </c>
      <c r="H48" s="21">
        <v>1.1499999999999999</v>
      </c>
      <c r="I48" s="21">
        <v>34.5</v>
      </c>
      <c r="J48" s="18" t="s">
        <v>36</v>
      </c>
      <c r="K48" s="18" t="s">
        <v>195</v>
      </c>
      <c r="L48" s="19">
        <v>46265</v>
      </c>
      <c r="M48" s="18" t="s">
        <v>46</v>
      </c>
      <c r="N48" s="18" t="s">
        <v>223</v>
      </c>
      <c r="O48" s="21">
        <f t="shared" si="0"/>
        <v>34.5</v>
      </c>
      <c r="P48" s="20">
        <f t="shared" si="1"/>
        <v>534</v>
      </c>
      <c r="Q48" s="22" t="str">
        <f t="shared" si="2"/>
        <v>OK</v>
      </c>
    </row>
    <row r="49" spans="1:17" x14ac:dyDescent="0.25">
      <c r="A49" s="18" t="s">
        <v>224</v>
      </c>
      <c r="B49" s="19">
        <v>45732</v>
      </c>
      <c r="C49" s="18" t="s">
        <v>15</v>
      </c>
      <c r="D49" s="18" t="s">
        <v>182</v>
      </c>
      <c r="E49" s="18" t="s">
        <v>183</v>
      </c>
      <c r="F49" s="20">
        <v>30</v>
      </c>
      <c r="G49" s="18" t="s">
        <v>18</v>
      </c>
      <c r="H49" s="21">
        <v>1.25</v>
      </c>
      <c r="I49" s="21">
        <v>37.5</v>
      </c>
      <c r="J49" s="18" t="s">
        <v>27</v>
      </c>
      <c r="K49" s="18" t="s">
        <v>184</v>
      </c>
      <c r="L49" s="19">
        <v>46387</v>
      </c>
      <c r="M49" s="18" t="s">
        <v>21</v>
      </c>
      <c r="N49" s="18" t="s">
        <v>225</v>
      </c>
      <c r="O49" s="21">
        <f t="shared" si="0"/>
        <v>37.5</v>
      </c>
      <c r="P49" s="20">
        <f t="shared" si="1"/>
        <v>655</v>
      </c>
      <c r="Q49" s="22" t="str">
        <f t="shared" si="2"/>
        <v>OK</v>
      </c>
    </row>
  </sheetData>
  <conditionalFormatting sqref="A5:Q49">
    <cfRule type="expression" dxfId="0" priority="1">
      <formula>$Q5="Revisar"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F555-4156-4E82-AC37-588BD727EDDE}">
  <dimension ref="A1:H45"/>
  <sheetViews>
    <sheetView topLeftCell="A4" workbookViewId="0"/>
  </sheetViews>
  <sheetFormatPr baseColWidth="10" defaultRowHeight="15" x14ac:dyDescent="0.25"/>
  <cols>
    <col min="1" max="1" width="25.85546875" bestFit="1" customWidth="1"/>
    <col min="2" max="2" width="22.28515625" bestFit="1" customWidth="1"/>
    <col min="4" max="4" width="17.85546875" bestFit="1" customWidth="1"/>
    <col min="5" max="5" width="22.28515625" bestFit="1" customWidth="1"/>
    <col min="7" max="7" width="22.140625" bestFit="1" customWidth="1"/>
    <col min="8" max="8" width="26.85546875" bestFit="1" customWidth="1"/>
  </cols>
  <sheetData>
    <row r="1" spans="1:8" ht="18.75" x14ac:dyDescent="0.3">
      <c r="A1" s="46" t="s">
        <v>349</v>
      </c>
    </row>
    <row r="2" spans="1:8" x14ac:dyDescent="0.25">
      <c r="D2" s="32" t="s">
        <v>350</v>
      </c>
      <c r="G2" s="32" t="s">
        <v>351</v>
      </c>
    </row>
    <row r="3" spans="1:8" x14ac:dyDescent="0.25">
      <c r="A3" s="23" t="s">
        <v>261</v>
      </c>
      <c r="B3" t="s">
        <v>348</v>
      </c>
      <c r="D3" s="23" t="s">
        <v>261</v>
      </c>
      <c r="E3" t="s">
        <v>348</v>
      </c>
      <c r="G3" s="23" t="s">
        <v>261</v>
      </c>
      <c r="H3" t="s">
        <v>352</v>
      </c>
    </row>
    <row r="4" spans="1:8" x14ac:dyDescent="0.25">
      <c r="A4" s="24" t="s">
        <v>15</v>
      </c>
      <c r="B4" s="45">
        <v>410</v>
      </c>
      <c r="D4" s="24" t="s">
        <v>15</v>
      </c>
      <c r="E4" s="45">
        <v>410</v>
      </c>
      <c r="G4" s="24" t="s">
        <v>113</v>
      </c>
      <c r="H4" s="45">
        <v>-9.75</v>
      </c>
    </row>
    <row r="5" spans="1:8" x14ac:dyDescent="0.25">
      <c r="A5" s="44" t="s">
        <v>182</v>
      </c>
      <c r="B5" s="45">
        <v>75</v>
      </c>
      <c r="D5" s="24" t="s">
        <v>68</v>
      </c>
      <c r="E5" s="45">
        <v>594</v>
      </c>
      <c r="G5" s="24" t="s">
        <v>42</v>
      </c>
      <c r="H5" s="45">
        <v>108</v>
      </c>
    </row>
    <row r="6" spans="1:8" x14ac:dyDescent="0.25">
      <c r="A6" s="44" t="s">
        <v>157</v>
      </c>
      <c r="B6" s="45">
        <v>31.5</v>
      </c>
      <c r="D6" s="24" t="s">
        <v>88</v>
      </c>
      <c r="E6" s="45">
        <v>237.6</v>
      </c>
      <c r="G6" s="24" t="s">
        <v>182</v>
      </c>
      <c r="H6" s="45">
        <v>75</v>
      </c>
    </row>
    <row r="7" spans="1:8" x14ac:dyDescent="0.25">
      <c r="A7" s="44" t="s">
        <v>95</v>
      </c>
      <c r="B7" s="45">
        <v>33</v>
      </c>
      <c r="D7" s="24" t="s">
        <v>56</v>
      </c>
      <c r="E7" s="45">
        <v>2241.5</v>
      </c>
      <c r="G7" s="24" t="s">
        <v>157</v>
      </c>
      <c r="H7" s="45">
        <v>31.5</v>
      </c>
    </row>
    <row r="8" spans="1:8" x14ac:dyDescent="0.25">
      <c r="A8" s="44" t="s">
        <v>16</v>
      </c>
      <c r="B8" s="45">
        <v>192</v>
      </c>
      <c r="D8" s="24" t="s">
        <v>41</v>
      </c>
      <c r="E8" s="45">
        <v>303.60000000000002</v>
      </c>
      <c r="G8" s="24" t="s">
        <v>132</v>
      </c>
      <c r="H8" s="45">
        <v>67.2</v>
      </c>
    </row>
    <row r="9" spans="1:8" x14ac:dyDescent="0.25">
      <c r="A9" s="44" t="s">
        <v>50</v>
      </c>
      <c r="B9" s="45">
        <v>38</v>
      </c>
      <c r="D9" s="24" t="s">
        <v>74</v>
      </c>
      <c r="E9" s="45">
        <v>478.5</v>
      </c>
      <c r="G9" s="24" t="s">
        <v>145</v>
      </c>
      <c r="H9" s="45">
        <v>68.2</v>
      </c>
    </row>
    <row r="10" spans="1:8" x14ac:dyDescent="0.25">
      <c r="A10" s="44" t="s">
        <v>127</v>
      </c>
      <c r="B10" s="45">
        <v>40.5</v>
      </c>
      <c r="D10" s="24" t="s">
        <v>32</v>
      </c>
      <c r="E10" s="45">
        <v>504.40000000000003</v>
      </c>
      <c r="G10" s="24" t="s">
        <v>172</v>
      </c>
      <c r="H10" s="45">
        <v>159.5</v>
      </c>
    </row>
    <row r="11" spans="1:8" x14ac:dyDescent="0.25">
      <c r="A11" s="24" t="s">
        <v>68</v>
      </c>
      <c r="B11" s="45">
        <v>594</v>
      </c>
      <c r="D11" s="24" t="s">
        <v>260</v>
      </c>
      <c r="E11" s="45">
        <v>257.95</v>
      </c>
      <c r="G11" s="24" t="s">
        <v>177</v>
      </c>
      <c r="H11" s="45">
        <v>22.5</v>
      </c>
    </row>
    <row r="12" spans="1:8" x14ac:dyDescent="0.25">
      <c r="A12" s="44" t="s">
        <v>118</v>
      </c>
      <c r="B12" s="45">
        <v>420</v>
      </c>
      <c r="D12" s="24" t="s">
        <v>347</v>
      </c>
      <c r="E12" s="45"/>
      <c r="G12" s="24" t="s">
        <v>95</v>
      </c>
      <c r="H12" s="45">
        <v>33</v>
      </c>
    </row>
    <row r="13" spans="1:8" x14ac:dyDescent="0.25">
      <c r="A13" s="44" t="s">
        <v>152</v>
      </c>
      <c r="B13" s="45">
        <v>126</v>
      </c>
      <c r="D13" s="24" t="s">
        <v>262</v>
      </c>
      <c r="E13" s="45">
        <v>5027.5499999999993</v>
      </c>
      <c r="G13" s="24" t="s">
        <v>16</v>
      </c>
      <c r="H13" s="45">
        <v>192</v>
      </c>
    </row>
    <row r="14" spans="1:8" x14ac:dyDescent="0.25">
      <c r="A14" s="44" t="s">
        <v>69</v>
      </c>
      <c r="B14" s="45">
        <v>48</v>
      </c>
      <c r="G14" s="24" t="s">
        <v>75</v>
      </c>
      <c r="H14" s="45">
        <v>315</v>
      </c>
    </row>
    <row r="15" spans="1:8" x14ac:dyDescent="0.25">
      <c r="A15" s="24" t="s">
        <v>88</v>
      </c>
      <c r="B15" s="45">
        <v>237.6</v>
      </c>
      <c r="G15" s="24" t="s">
        <v>107</v>
      </c>
      <c r="H15" s="45">
        <v>1920</v>
      </c>
    </row>
    <row r="16" spans="1:8" x14ac:dyDescent="0.25">
      <c r="A16" s="44" t="s">
        <v>132</v>
      </c>
      <c r="B16" s="45">
        <v>67.2</v>
      </c>
      <c r="G16" s="24" t="s">
        <v>50</v>
      </c>
      <c r="H16" s="45">
        <v>38</v>
      </c>
    </row>
    <row r="17" spans="1:8" x14ac:dyDescent="0.25">
      <c r="A17" s="44" t="s">
        <v>89</v>
      </c>
      <c r="B17" s="45">
        <v>99</v>
      </c>
      <c r="G17" s="24" t="s">
        <v>198</v>
      </c>
      <c r="H17" s="45">
        <v>59</v>
      </c>
    </row>
    <row r="18" spans="1:8" x14ac:dyDescent="0.25">
      <c r="A18" s="44" t="s">
        <v>205</v>
      </c>
      <c r="B18" s="45">
        <v>71.400000000000006</v>
      </c>
      <c r="G18" s="24" t="s">
        <v>101</v>
      </c>
      <c r="H18" s="45">
        <v>24</v>
      </c>
    </row>
    <row r="19" spans="1:8" x14ac:dyDescent="0.25">
      <c r="A19" s="24" t="s">
        <v>56</v>
      </c>
      <c r="B19" s="45">
        <v>2241.5</v>
      </c>
      <c r="G19" s="24" t="s">
        <v>118</v>
      </c>
      <c r="H19" s="45">
        <v>420</v>
      </c>
    </row>
    <row r="20" spans="1:8" x14ac:dyDescent="0.25">
      <c r="A20" s="44" t="s">
        <v>172</v>
      </c>
      <c r="B20" s="45">
        <v>159.5</v>
      </c>
      <c r="G20" s="24" t="s">
        <v>62</v>
      </c>
      <c r="H20" s="45">
        <v>72</v>
      </c>
    </row>
    <row r="21" spans="1:8" x14ac:dyDescent="0.25">
      <c r="A21" s="44" t="s">
        <v>107</v>
      </c>
      <c r="B21" s="45">
        <v>1920</v>
      </c>
      <c r="G21" s="24" t="s">
        <v>152</v>
      </c>
      <c r="H21" s="45">
        <v>157.5</v>
      </c>
    </row>
    <row r="22" spans="1:8" x14ac:dyDescent="0.25">
      <c r="A22" s="44" t="s">
        <v>57</v>
      </c>
      <c r="B22" s="45">
        <v>162</v>
      </c>
      <c r="G22" s="24" t="s">
        <v>167</v>
      </c>
      <c r="H22" s="45">
        <v>41.6</v>
      </c>
    </row>
    <row r="23" spans="1:8" x14ac:dyDescent="0.25">
      <c r="A23" s="24" t="s">
        <v>41</v>
      </c>
      <c r="B23" s="45">
        <v>303.60000000000002</v>
      </c>
      <c r="G23" s="24" t="s">
        <v>33</v>
      </c>
      <c r="H23" s="45">
        <v>45</v>
      </c>
    </row>
    <row r="24" spans="1:8" x14ac:dyDescent="0.25">
      <c r="A24" s="44" t="s">
        <v>42</v>
      </c>
      <c r="B24" s="45">
        <v>252</v>
      </c>
      <c r="G24" s="24" t="s">
        <v>82</v>
      </c>
      <c r="H24" s="45">
        <v>46.8</v>
      </c>
    </row>
    <row r="25" spans="1:8" x14ac:dyDescent="0.25">
      <c r="A25" s="44" t="s">
        <v>101</v>
      </c>
      <c r="B25" s="45">
        <v>24</v>
      </c>
      <c r="G25" s="24" t="s">
        <v>69</v>
      </c>
      <c r="H25" s="45">
        <v>48</v>
      </c>
    </row>
    <row r="26" spans="1:8" x14ac:dyDescent="0.25">
      <c r="A26" s="44" t="s">
        <v>187</v>
      </c>
      <c r="B26" s="45">
        <v>27.6</v>
      </c>
      <c r="G26" s="24" t="s">
        <v>57</v>
      </c>
      <c r="H26" s="45">
        <v>162</v>
      </c>
    </row>
    <row r="27" spans="1:8" x14ac:dyDescent="0.25">
      <c r="A27" s="24" t="s">
        <v>74</v>
      </c>
      <c r="B27" s="45">
        <v>478.5</v>
      </c>
      <c r="G27" s="24" t="s">
        <v>187</v>
      </c>
      <c r="H27" s="45">
        <v>27.599999999999998</v>
      </c>
    </row>
    <row r="28" spans="1:8" x14ac:dyDescent="0.25">
      <c r="A28" s="44" t="s">
        <v>75</v>
      </c>
      <c r="B28" s="45">
        <v>315</v>
      </c>
      <c r="G28" s="24" t="s">
        <v>25</v>
      </c>
      <c r="H28" s="45">
        <v>199.5</v>
      </c>
    </row>
    <row r="29" spans="1:8" x14ac:dyDescent="0.25">
      <c r="A29" s="44" t="s">
        <v>25</v>
      </c>
      <c r="B29" s="45">
        <v>94.5</v>
      </c>
      <c r="G29" s="24" t="s">
        <v>137</v>
      </c>
      <c r="H29" s="45">
        <v>273</v>
      </c>
    </row>
    <row r="30" spans="1:8" x14ac:dyDescent="0.25">
      <c r="A30" s="44" t="s">
        <v>193</v>
      </c>
      <c r="B30" s="45">
        <v>69</v>
      </c>
      <c r="G30" s="24" t="s">
        <v>89</v>
      </c>
      <c r="H30" s="45">
        <v>99</v>
      </c>
    </row>
    <row r="31" spans="1:8" x14ac:dyDescent="0.25">
      <c r="A31" s="24" t="s">
        <v>32</v>
      </c>
      <c r="B31" s="45">
        <v>504.4</v>
      </c>
      <c r="G31" s="24" t="s">
        <v>205</v>
      </c>
      <c r="H31" s="45">
        <v>71.399999999999991</v>
      </c>
    </row>
    <row r="32" spans="1:8" x14ac:dyDescent="0.25">
      <c r="A32" s="44" t="s">
        <v>198</v>
      </c>
      <c r="B32" s="45">
        <v>59</v>
      </c>
      <c r="G32" s="24" t="s">
        <v>193</v>
      </c>
      <c r="H32" s="45">
        <v>69</v>
      </c>
    </row>
    <row r="33" spans="1:8" x14ac:dyDescent="0.25">
      <c r="A33" s="44" t="s">
        <v>167</v>
      </c>
      <c r="B33" s="45">
        <v>41.6</v>
      </c>
      <c r="G33" s="24" t="s">
        <v>127</v>
      </c>
      <c r="H33" s="45">
        <v>40.5</v>
      </c>
    </row>
    <row r="34" spans="1:8" x14ac:dyDescent="0.25">
      <c r="A34" s="44" t="s">
        <v>33</v>
      </c>
      <c r="B34" s="45">
        <v>45</v>
      </c>
      <c r="G34" s="24" t="s">
        <v>347</v>
      </c>
      <c r="H34" s="45">
        <v>90</v>
      </c>
    </row>
    <row r="35" spans="1:8" x14ac:dyDescent="0.25">
      <c r="A35" s="44" t="s">
        <v>82</v>
      </c>
      <c r="B35" s="45">
        <v>46.8</v>
      </c>
      <c r="G35" s="24" t="s">
        <v>262</v>
      </c>
      <c r="H35" s="45">
        <v>4966.05</v>
      </c>
    </row>
    <row r="36" spans="1:8" x14ac:dyDescent="0.25">
      <c r="A36" s="44" t="s">
        <v>137</v>
      </c>
      <c r="B36" s="45">
        <v>312</v>
      </c>
    </row>
    <row r="37" spans="1:8" x14ac:dyDescent="0.25">
      <c r="A37" s="24" t="s">
        <v>260</v>
      </c>
      <c r="B37" s="45">
        <v>257.95</v>
      </c>
    </row>
    <row r="38" spans="1:8" x14ac:dyDescent="0.25">
      <c r="A38" s="44" t="s">
        <v>113</v>
      </c>
      <c r="B38" s="45">
        <v>-9.75</v>
      </c>
    </row>
    <row r="39" spans="1:8" x14ac:dyDescent="0.25">
      <c r="A39" s="44" t="s">
        <v>145</v>
      </c>
      <c r="B39" s="45">
        <v>68.2</v>
      </c>
    </row>
    <row r="40" spans="1:8" x14ac:dyDescent="0.25">
      <c r="A40" s="44" t="s">
        <v>177</v>
      </c>
      <c r="B40" s="45">
        <v>22.5</v>
      </c>
    </row>
    <row r="41" spans="1:8" x14ac:dyDescent="0.25">
      <c r="A41" s="44" t="s">
        <v>62</v>
      </c>
      <c r="B41" s="45">
        <v>72</v>
      </c>
    </row>
    <row r="42" spans="1:8" x14ac:dyDescent="0.25">
      <c r="A42" s="44" t="s">
        <v>25</v>
      </c>
      <c r="B42" s="45">
        <v>105</v>
      </c>
    </row>
    <row r="43" spans="1:8" x14ac:dyDescent="0.25">
      <c r="A43" s="24" t="s">
        <v>347</v>
      </c>
      <c r="B43" s="45"/>
    </row>
    <row r="44" spans="1:8" x14ac:dyDescent="0.25">
      <c r="A44" s="44" t="s">
        <v>347</v>
      </c>
      <c r="B44" s="45"/>
    </row>
    <row r="45" spans="1:8" x14ac:dyDescent="0.25">
      <c r="A45" s="24" t="s">
        <v>262</v>
      </c>
      <c r="B45" s="45">
        <v>5027.5500000000011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9A14-D0D4-4DC3-9FEA-CC4643A376E0}">
  <dimension ref="A1"/>
  <sheetViews>
    <sheetView workbookViewId="0">
      <selection activeCell="D57" sqref="D5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2B17-A6CA-44F2-8544-C5EEA19A0C48}">
  <dimension ref="A1:F114"/>
  <sheetViews>
    <sheetView tabSelected="1" topLeftCell="A3" workbookViewId="0">
      <selection activeCell="A4" sqref="A4"/>
    </sheetView>
  </sheetViews>
  <sheetFormatPr baseColWidth="10" defaultRowHeight="15" x14ac:dyDescent="0.25"/>
  <cols>
    <col min="1" max="1" width="49.5703125" customWidth="1"/>
    <col min="2" max="6" width="21" customWidth="1"/>
  </cols>
  <sheetData>
    <row r="1" spans="1:2" ht="21" x14ac:dyDescent="0.35">
      <c r="A1" s="6" t="s">
        <v>353</v>
      </c>
    </row>
    <row r="2" spans="1:2" x14ac:dyDescent="0.25">
      <c r="A2" s="47" t="s">
        <v>354</v>
      </c>
    </row>
    <row r="4" spans="1:2" ht="15.75" x14ac:dyDescent="0.25">
      <c r="A4" s="48" t="s">
        <v>355</v>
      </c>
      <c r="B4" s="49"/>
    </row>
    <row r="5" spans="1:2" x14ac:dyDescent="0.25">
      <c r="A5" s="51" t="s">
        <v>356</v>
      </c>
      <c r="B5" s="52" t="s">
        <v>357</v>
      </c>
    </row>
    <row r="6" spans="1:2" x14ac:dyDescent="0.25">
      <c r="A6" t="s">
        <v>358</v>
      </c>
      <c r="B6" s="53">
        <f>COUNTA(Hoja1!A2:A46)</f>
        <v>45</v>
      </c>
    </row>
    <row r="7" spans="1:2" x14ac:dyDescent="0.25">
      <c r="A7" t="s">
        <v>359</v>
      </c>
      <c r="B7" s="28">
        <f>SUM(Hoja1!I2:I46)</f>
        <v>5027.5499999999993</v>
      </c>
    </row>
    <row r="8" spans="1:2" x14ac:dyDescent="0.25">
      <c r="A8" t="s">
        <v>360</v>
      </c>
      <c r="B8" s="28">
        <f>AVERAGE(Hoja1!I2:I46)</f>
        <v>114.26249999999999</v>
      </c>
    </row>
    <row r="9" spans="1:2" x14ac:dyDescent="0.25">
      <c r="A9" t="s">
        <v>361</v>
      </c>
      <c r="B9" s="53">
        <f>SUM(Hoja1!F2:F46)</f>
        <v>1388</v>
      </c>
    </row>
    <row r="10" spans="1:2" x14ac:dyDescent="0.25">
      <c r="A10" t="s">
        <v>362</v>
      </c>
      <c r="B10" s="28">
        <f>AVERAGE(Hoja1!H2:H46)</f>
        <v>8.4555555555555575</v>
      </c>
    </row>
    <row r="11" spans="1:2" x14ac:dyDescent="0.25">
      <c r="A11" t="s">
        <v>363</v>
      </c>
      <c r="B11" s="53" cm="1">
        <f t="array" ref="B11">SUMPRODUCT(1/COUNTIF(Hoja1!C2:C46,Hoja1!C2:C46))</f>
        <v>8.0000000000000036</v>
      </c>
    </row>
    <row r="12" spans="1:2" x14ac:dyDescent="0.25">
      <c r="A12" t="s">
        <v>364</v>
      </c>
      <c r="B12" s="53" cm="1">
        <f t="array" ref="B12">SUMPRODUCT(1/COUNTIF(Hoja1!D2:D46,Hoja1!D2:D46))</f>
        <v>30</v>
      </c>
    </row>
    <row r="13" spans="1:2" x14ac:dyDescent="0.25">
      <c r="A13" t="s">
        <v>365</v>
      </c>
      <c r="B13" s="53" cm="1">
        <f t="array" ref="B13">SUMPRODUCT(1/COUNTIF(Hoja1!E2:E46,Hoja1!E2:E46))</f>
        <v>29</v>
      </c>
    </row>
    <row r="14" spans="1:2" x14ac:dyDescent="0.25">
      <c r="A14" t="s">
        <v>366</v>
      </c>
      <c r="B14" s="53" cm="1">
        <f t="array" ref="B14">SUMPRODUCT((Hoja1!J2:J46&lt;&gt;"")/COUNTIF(Hoja1!J2:J46,Hoja1!J2:J46&amp;""))</f>
        <v>4.0000000000000027</v>
      </c>
    </row>
    <row r="15" spans="1:2" x14ac:dyDescent="0.25">
      <c r="A15" t="s">
        <v>367</v>
      </c>
      <c r="B15" s="53" cm="1">
        <f t="array" ref="B15">SUMPRODUCT(1/COUNTIF(Hoja1!M2:M46,Hoja1!M2:M46))</f>
        <v>3.9999999999999991</v>
      </c>
    </row>
    <row r="16" spans="1:2" x14ac:dyDescent="0.25">
      <c r="A16" t="s">
        <v>368</v>
      </c>
      <c r="B16" s="53">
        <f>COUNTIF(Hoja1!P2:P46,"Revisar")</f>
        <v>8</v>
      </c>
    </row>
    <row r="17" spans="1:6" x14ac:dyDescent="0.25">
      <c r="A17" t="s">
        <v>369</v>
      </c>
      <c r="B17" s="54">
        <f>B16/B6</f>
        <v>0.17777777777777778</v>
      </c>
    </row>
    <row r="18" spans="1:6" x14ac:dyDescent="0.25">
      <c r="A18" t="s">
        <v>370</v>
      </c>
      <c r="B18" s="53">
        <f>COUNTIF(Hoja1!Q2:Q46,"&lt;0")</f>
        <v>1</v>
      </c>
    </row>
    <row r="19" spans="1:6" x14ac:dyDescent="0.25">
      <c r="A19" t="s">
        <v>371</v>
      </c>
      <c r="B19" s="53">
        <f>AVERAGE(Hoja1!Q2:Q46)</f>
        <v>580.86666666666667</v>
      </c>
    </row>
    <row r="20" spans="1:6" x14ac:dyDescent="0.25">
      <c r="A20" t="s">
        <v>372</v>
      </c>
      <c r="B20" s="28">
        <f>MIN(Hoja1!I2:I46)</f>
        <v>-9.75</v>
      </c>
    </row>
    <row r="21" spans="1:6" x14ac:dyDescent="0.25">
      <c r="A21" t="s">
        <v>373</v>
      </c>
      <c r="B21" s="28">
        <f>MAX(Hoja1!I2:I46)</f>
        <v>960</v>
      </c>
    </row>
    <row r="23" spans="1:6" ht="15.75" x14ac:dyDescent="0.25">
      <c r="A23" s="48" t="s">
        <v>374</v>
      </c>
    </row>
    <row r="24" spans="1:6" x14ac:dyDescent="0.25">
      <c r="A24" s="50" t="s">
        <v>2</v>
      </c>
      <c r="B24" s="52" t="s">
        <v>375</v>
      </c>
      <c r="C24" s="52" t="s">
        <v>376</v>
      </c>
      <c r="D24" s="52" t="s">
        <v>377</v>
      </c>
      <c r="E24" s="52" t="s">
        <v>378</v>
      </c>
      <c r="F24" s="52" t="s">
        <v>379</v>
      </c>
    </row>
    <row r="25" spans="1:6" x14ac:dyDescent="0.25">
      <c r="A25" t="str" cm="1">
        <f t="array" ref="A25:A32">_xlfn.UNIQUE(Hoja1!C2:C46)</f>
        <v>Cardiología</v>
      </c>
      <c r="B25" s="53">
        <f>IF($A25="","",COUNTIF(Hoja1!$C$2:$C$46,$A25))</f>
        <v>8</v>
      </c>
      <c r="C25" s="53">
        <f>IF($A25="","",SUMIF(Hoja1!$C$2:$C$46,$A25,Hoja1!$F$2:$F$46))</f>
        <v>250</v>
      </c>
      <c r="D25" s="28">
        <f>IF($A25="","",SUMIF(Hoja1!$C$2:$C$46,$A25,Hoja1!$I$2:$I$46))</f>
        <v>410</v>
      </c>
      <c r="E25" s="28">
        <f>IF($A25="","",D25/B25)</f>
        <v>51.25</v>
      </c>
      <c r="F25" s="54">
        <f>IF($A25="","",D25/$B$7)</f>
        <v>8.1550655886067774E-2</v>
      </c>
    </row>
    <row r="26" spans="1:6" x14ac:dyDescent="0.25">
      <c r="A26" t="str">
        <v>Urgencias</v>
      </c>
      <c r="B26" s="53">
        <f>IF($A26="","",COUNTIF(Hoja1!$C$2:$C$46,$A26))</f>
        <v>6</v>
      </c>
      <c r="C26" s="53">
        <f>IF($A26="","",SUMIF(Hoja1!$C$2:$C$46,$A26,Hoja1!$F$2:$F$46))</f>
        <v>152</v>
      </c>
      <c r="D26" s="28">
        <f>IF($A26="","",SUMIF(Hoja1!$C$2:$C$46,$A26,Hoja1!$I$2:$I$46))</f>
        <v>257.95</v>
      </c>
      <c r="E26" s="28">
        <f t="shared" ref="E26:E32" si="0">IF($A26="","",D26/B26)</f>
        <v>42.991666666666667</v>
      </c>
      <c r="F26" s="54">
        <f t="shared" ref="F26:F32" si="1">IF($A26="","",D26/$B$7)</f>
        <v>5.1307296794661422E-2</v>
      </c>
    </row>
    <row r="27" spans="1:6" x14ac:dyDescent="0.25">
      <c r="A27" t="str">
        <v>UCI</v>
      </c>
      <c r="B27" s="53">
        <f>IF($A27="","",COUNTIF(Hoja1!$C$2:$C$46,$A27))</f>
        <v>6</v>
      </c>
      <c r="C27" s="53">
        <f>IF($A27="","",SUMIF(Hoja1!$C$2:$C$46,$A27,Hoja1!$F$2:$F$46))</f>
        <v>93</v>
      </c>
      <c r="D27" s="28">
        <f>IF($A27="","",SUMIF(Hoja1!$C$2:$C$46,$A27,Hoja1!$I$2:$I$46))</f>
        <v>504.40000000000003</v>
      </c>
      <c r="E27" s="28">
        <f t="shared" si="0"/>
        <v>84.066666666666677</v>
      </c>
      <c r="F27" s="54">
        <f t="shared" si="1"/>
        <v>0.10032719714373803</v>
      </c>
    </row>
    <row r="28" spans="1:6" x14ac:dyDescent="0.25">
      <c r="A28" t="str">
        <v>Pediatría</v>
      </c>
      <c r="B28" s="53">
        <f>IF($A28="","",COUNTIF(Hoja1!$C$2:$C$46,$A28))</f>
        <v>5</v>
      </c>
      <c r="C28" s="53">
        <f>IF($A28="","",SUMIF(Hoja1!$C$2:$C$46,$A28,Hoja1!$F$2:$F$46))</f>
        <v>82</v>
      </c>
      <c r="D28" s="28">
        <f>IF($A28="","",SUMIF(Hoja1!$C$2:$C$46,$A28,Hoja1!$I$2:$I$46))</f>
        <v>303.60000000000002</v>
      </c>
      <c r="E28" s="28">
        <f t="shared" si="0"/>
        <v>60.720000000000006</v>
      </c>
      <c r="F28" s="54">
        <f t="shared" si="1"/>
        <v>6.0387266163439465E-2</v>
      </c>
    </row>
    <row r="29" spans="1:6" x14ac:dyDescent="0.25">
      <c r="A29" t="str">
        <v>Oncología</v>
      </c>
      <c r="B29" s="53">
        <f>IF($A29="","",COUNTIF(Hoja1!$C$2:$C$46,$A29))</f>
        <v>6</v>
      </c>
      <c r="C29" s="53">
        <f>IF($A29="","",SUMIF(Hoja1!$C$2:$C$46,$A29,Hoja1!$F$2:$F$46))</f>
        <v>336</v>
      </c>
      <c r="D29" s="28">
        <f>IF($A29="","",SUMIF(Hoja1!$C$2:$C$46,$A29,Hoja1!$I$2:$I$46))</f>
        <v>2241.5</v>
      </c>
      <c r="E29" s="28">
        <f t="shared" si="0"/>
        <v>373.58333333333331</v>
      </c>
      <c r="F29" s="54">
        <f t="shared" si="1"/>
        <v>0.44584340285029495</v>
      </c>
    </row>
    <row r="30" spans="1:6" x14ac:dyDescent="0.25">
      <c r="A30" t="str">
        <v>Medicina Interna</v>
      </c>
      <c r="B30" s="53">
        <f>IF($A30="","",COUNTIF(Hoja1!$C$2:$C$46,$A30))</f>
        <v>5</v>
      </c>
      <c r="C30" s="53">
        <f>IF($A30="","",SUMIF(Hoja1!$C$2:$C$46,$A30,Hoja1!$F$2:$F$46))</f>
        <v>254</v>
      </c>
      <c r="D30" s="28">
        <f>IF($A30="","",SUMIF(Hoja1!$C$2:$C$46,$A30,Hoja1!$I$2:$I$46))</f>
        <v>594</v>
      </c>
      <c r="E30" s="28">
        <f t="shared" si="0"/>
        <v>118.8</v>
      </c>
      <c r="F30" s="54">
        <f t="shared" si="1"/>
        <v>0.11814899901542503</v>
      </c>
    </row>
    <row r="31" spans="1:6" x14ac:dyDescent="0.25">
      <c r="A31" t="str">
        <v>Traumatología</v>
      </c>
      <c r="B31" s="53">
        <f>IF($A31="","",COUNTIF(Hoja1!$C$2:$C$46,$A31))</f>
        <v>5</v>
      </c>
      <c r="C31" s="53">
        <f>IF($A31="","",SUMIF(Hoja1!$C$2:$C$46,$A31,Hoja1!$F$2:$F$46))</f>
        <v>155</v>
      </c>
      <c r="D31" s="28">
        <f>IF($A31="","",SUMIF(Hoja1!$C$2:$C$46,$A31,Hoja1!$I$2:$I$46))</f>
        <v>478.5</v>
      </c>
      <c r="E31" s="28">
        <f t="shared" si="0"/>
        <v>95.7</v>
      </c>
      <c r="F31" s="54">
        <f t="shared" si="1"/>
        <v>9.5175582540203488E-2</v>
      </c>
    </row>
    <row r="32" spans="1:6" x14ac:dyDescent="0.25">
      <c r="A32" t="str">
        <v>Neumología</v>
      </c>
      <c r="B32" s="53">
        <f>IF($A32="","",COUNTIF(Hoja1!$C$2:$C$46,$A32))</f>
        <v>4</v>
      </c>
      <c r="C32" s="53">
        <f>IF($A32="","",SUMIF(Hoja1!$C$2:$C$46,$A32,Hoja1!$F$2:$F$46))</f>
        <v>66</v>
      </c>
      <c r="D32" s="28">
        <f>IF($A32="","",SUMIF(Hoja1!$C$2:$C$46,$A32,Hoja1!$I$2:$I$46))</f>
        <v>237.6</v>
      </c>
      <c r="E32" s="28">
        <f t="shared" si="0"/>
        <v>59.4</v>
      </c>
      <c r="F32" s="54">
        <f t="shared" si="1"/>
        <v>4.7259599606170009E-2</v>
      </c>
    </row>
    <row r="34" spans="1:6" x14ac:dyDescent="0.25">
      <c r="A34" s="32" t="s">
        <v>344</v>
      </c>
      <c r="B34" s="55">
        <f>SUM(B25:B32)</f>
        <v>45</v>
      </c>
      <c r="C34" s="55">
        <f>SUM(C25:C32)</f>
        <v>1388</v>
      </c>
      <c r="D34" s="56">
        <f>SUM(D25:D32)</f>
        <v>5027.5500000000011</v>
      </c>
      <c r="E34" s="56">
        <f>D34/B34</f>
        <v>111.72333333333336</v>
      </c>
      <c r="F34" s="57">
        <f>SUM(F25:F32)</f>
        <v>1.0000000000000002</v>
      </c>
    </row>
    <row r="37" spans="1:6" ht="15.75" x14ac:dyDescent="0.25">
      <c r="A37" s="48" t="s">
        <v>380</v>
      </c>
    </row>
    <row r="38" spans="1:6" x14ac:dyDescent="0.25">
      <c r="A38" s="50" t="s">
        <v>12</v>
      </c>
      <c r="B38" s="52" t="s">
        <v>375</v>
      </c>
      <c r="C38" s="52" t="s">
        <v>376</v>
      </c>
      <c r="D38" s="52" t="s">
        <v>377</v>
      </c>
      <c r="E38" s="52" t="s">
        <v>378</v>
      </c>
    </row>
    <row r="39" spans="1:6" x14ac:dyDescent="0.25">
      <c r="A39" t="str" cm="1">
        <f t="array" ref="A39:A42">_xlfn.UNIQUE(Hoja1!M2:M46)</f>
        <v>Ana Ruiz</v>
      </c>
      <c r="B39" s="53">
        <f>IF($A39="","",COUNTIF(Hoja1!$M$2:$M$46,$A39))</f>
        <v>12</v>
      </c>
      <c r="C39" s="53">
        <f>IF($A39="","",SUMIF(Hoja1!$M$2:$M$46,$A39,Hoja1!$F$2:$F$46))</f>
        <v>389</v>
      </c>
      <c r="D39" s="28">
        <f>IF($A39="","",SUMIF(Hoja1!$M$2:$M$46,$A39,Hoja1!$I$2:$I$46))</f>
        <v>725.4</v>
      </c>
      <c r="E39" s="28">
        <f>IF($A39="","",D39/B39)</f>
        <v>60.449999999999996</v>
      </c>
    </row>
    <row r="40" spans="1:6" x14ac:dyDescent="0.25">
      <c r="A40" t="str">
        <v>Luis Gómez</v>
      </c>
      <c r="B40" s="53">
        <f>IF($A40="","",COUNTIF(Hoja1!$M$2:$M$46,$A40))</f>
        <v>11</v>
      </c>
      <c r="C40" s="53">
        <f>IF($A40="","",SUMIF(Hoja1!$M$2:$M$46,$A40,Hoja1!$F$2:$F$46))</f>
        <v>247</v>
      </c>
      <c r="D40" s="28">
        <f>IF($A40="","",SUMIF(Hoja1!$M$2:$M$46,$A40,Hoja1!$I$2:$I$46))</f>
        <v>765.95</v>
      </c>
      <c r="E40" s="28">
        <f t="shared" ref="E40:E42" si="2">IF($A40="","",D40/B40)</f>
        <v>69.63181818181819</v>
      </c>
    </row>
    <row r="41" spans="1:6" x14ac:dyDescent="0.25">
      <c r="A41" t="str">
        <v>Marta Sánchez</v>
      </c>
      <c r="B41" s="53">
        <f>IF($A41="","",COUNTIF(Hoja1!$M$2:$M$46,$A41))</f>
        <v>11</v>
      </c>
      <c r="C41" s="53">
        <f>IF($A41="","",SUMIF(Hoja1!$M$2:$M$46,$A41,Hoja1!$F$2:$F$46))</f>
        <v>457</v>
      </c>
      <c r="D41" s="28">
        <f>IF($A41="","",SUMIF(Hoja1!$M$2:$M$46,$A41,Hoja1!$I$2:$I$46))</f>
        <v>1689.5</v>
      </c>
      <c r="E41" s="28">
        <f t="shared" si="2"/>
        <v>153.59090909090909</v>
      </c>
    </row>
    <row r="42" spans="1:6" x14ac:dyDescent="0.25">
      <c r="A42" t="str">
        <v>Pedro Díaz</v>
      </c>
      <c r="B42" s="53">
        <f>IF($A42="","",COUNTIF(Hoja1!$M$2:$M$46,$A42))</f>
        <v>11</v>
      </c>
      <c r="C42" s="53">
        <f>IF($A42="","",SUMIF(Hoja1!$M$2:$M$46,$A42,Hoja1!$F$2:$F$46))</f>
        <v>295</v>
      </c>
      <c r="D42" s="28">
        <f>IF($A42="","",SUMIF(Hoja1!$M$2:$M$46,$A42,Hoja1!$I$2:$I$46))</f>
        <v>1846.7</v>
      </c>
      <c r="E42" s="28">
        <f t="shared" si="2"/>
        <v>167.88181818181818</v>
      </c>
    </row>
    <row r="44" spans="1:6" x14ac:dyDescent="0.25">
      <c r="A44" s="32" t="s">
        <v>344</v>
      </c>
      <c r="B44" s="55">
        <f>SUM(B39:B42)</f>
        <v>45</v>
      </c>
      <c r="C44" s="55">
        <f>SUM(C39:C42)</f>
        <v>1388</v>
      </c>
      <c r="D44" s="56">
        <f>SUM(D39:D42)</f>
        <v>5027.55</v>
      </c>
      <c r="E44" s="56">
        <f>D44/B44</f>
        <v>111.72333333333334</v>
      </c>
    </row>
    <row r="46" spans="1:6" ht="15.75" x14ac:dyDescent="0.25">
      <c r="A46" s="48" t="s">
        <v>381</v>
      </c>
    </row>
    <row r="47" spans="1:6" x14ac:dyDescent="0.25">
      <c r="A47" s="50" t="s">
        <v>9</v>
      </c>
      <c r="B47" s="52" t="s">
        <v>375</v>
      </c>
      <c r="C47" s="52" t="s">
        <v>376</v>
      </c>
      <c r="D47" s="52" t="s">
        <v>377</v>
      </c>
      <c r="E47" s="52" t="s">
        <v>378</v>
      </c>
    </row>
    <row r="48" spans="1:6" x14ac:dyDescent="0.25">
      <c r="A48" t="str" cm="1">
        <f t="array" ref="A48:A51">_xlfn.UNIQUE(_xlfn._xlws.FILTER(Hoja1!J2:J46,Hoja1!J2:J46&lt;&gt;""))</f>
        <v>Kern Pharma</v>
      </c>
      <c r="B48" s="53">
        <f>IF($A48="","",COUNTIF(Hoja1!$J$2:$J$46,$A48))</f>
        <v>13</v>
      </c>
      <c r="C48" s="53">
        <f>IF($A48="","",SUMIF(Hoja1!$J$2:$J$46,$A48,Hoja1!$F$2:$F$46))</f>
        <v>313</v>
      </c>
      <c r="D48" s="28">
        <f>IF($A48="","",SUMIF(Hoja1!$J$2:$J$46,$A48,Hoja1!$I$2:$I$46))</f>
        <v>774.6</v>
      </c>
      <c r="E48" s="28">
        <f>IF($A48="","",D48/B48)</f>
        <v>59.58461538461539</v>
      </c>
    </row>
    <row r="49" spans="1:6" x14ac:dyDescent="0.25">
      <c r="A49" t="str">
        <v>Normon</v>
      </c>
      <c r="B49" s="53">
        <f>IF($A49="","",COUNTIF(Hoja1!$J$2:$J$46,$A49))</f>
        <v>15</v>
      </c>
      <c r="C49" s="53">
        <f>IF($A49="","",SUMIF(Hoja1!$J$2:$J$46,$A49,Hoja1!$F$2:$F$46))</f>
        <v>799</v>
      </c>
      <c r="D49" s="28">
        <f>IF($A49="","",SUMIF(Hoja1!$J$2:$J$46,$A49,Hoja1!$I$2:$I$46))</f>
        <v>822.80000000000007</v>
      </c>
      <c r="E49" s="28">
        <f t="shared" ref="E49:E51" si="3">IF($A49="","",D49/B49)</f>
        <v>54.853333333333339</v>
      </c>
    </row>
    <row r="50" spans="1:6" x14ac:dyDescent="0.25">
      <c r="A50" t="str">
        <v>Sanofi</v>
      </c>
      <c r="B50" s="53">
        <f>IF($A50="","",COUNTIF(Hoja1!$J$2:$J$46,$A50))</f>
        <v>9</v>
      </c>
      <c r="C50" s="53">
        <f>IF($A50="","",SUMIF(Hoja1!$J$2:$J$46,$A50,Hoja1!$F$2:$F$46))</f>
        <v>159</v>
      </c>
      <c r="D50" s="28">
        <f>IF($A50="","",SUMIF(Hoja1!$J$2:$J$46,$A50,Hoja1!$I$2:$I$46))</f>
        <v>1001.25</v>
      </c>
      <c r="E50" s="28">
        <f t="shared" si="3"/>
        <v>111.25</v>
      </c>
    </row>
    <row r="51" spans="1:6" x14ac:dyDescent="0.25">
      <c r="A51" t="str">
        <v>Pfizer</v>
      </c>
      <c r="B51" s="53">
        <f>IF($A51="","",COUNTIF(Hoja1!$J$2:$J$46,$A51))</f>
        <v>7</v>
      </c>
      <c r="C51" s="53">
        <f>IF($A51="","",SUMIF(Hoja1!$J$2:$J$46,$A51,Hoja1!$F$2:$F$46))</f>
        <v>99</v>
      </c>
      <c r="D51" s="28">
        <f>IF($A51="","",SUMIF(Hoja1!$J$2:$J$46,$A51,Hoja1!$I$2:$I$46))</f>
        <v>2379.3999999999996</v>
      </c>
      <c r="E51" s="28">
        <f t="shared" si="3"/>
        <v>339.91428571428565</v>
      </c>
    </row>
    <row r="53" spans="1:6" x14ac:dyDescent="0.25">
      <c r="A53" s="32" t="s">
        <v>344</v>
      </c>
      <c r="B53" s="55">
        <f>SUM(B48:B51)</f>
        <v>44</v>
      </c>
      <c r="C53" s="55">
        <f>SUM(C48:C51)</f>
        <v>1370</v>
      </c>
      <c r="D53" s="56">
        <f>SUM(D48:D51)</f>
        <v>4978.0499999999993</v>
      </c>
      <c r="E53" s="56">
        <f>D53/B53</f>
        <v>113.13749999999999</v>
      </c>
    </row>
    <row r="55" spans="1:6" ht="15.75" x14ac:dyDescent="0.25">
      <c r="A55" s="48" t="s">
        <v>382</v>
      </c>
    </row>
    <row r="56" spans="1:6" x14ac:dyDescent="0.25">
      <c r="A56" s="50" t="s">
        <v>3</v>
      </c>
      <c r="B56" s="50" t="s">
        <v>383</v>
      </c>
      <c r="C56" s="52" t="s">
        <v>375</v>
      </c>
      <c r="D56" s="52" t="s">
        <v>376</v>
      </c>
      <c r="E56" s="52" t="s">
        <v>377</v>
      </c>
      <c r="F56" s="52" t="s">
        <v>378</v>
      </c>
    </row>
    <row r="57" spans="1:6" x14ac:dyDescent="0.25">
      <c r="A57" t="str" cm="1">
        <f t="array" ref="A57:A86">_xlfn.UNIQUE(Hoja1!D2:D46)</f>
        <v>Enalapril 10mg</v>
      </c>
      <c r="B57" t="str">
        <f>IF($A57="","",INDEX(Hoja1!$E$2:$E$46,MATCH($A57,Hoja1!$D$2:$D$46,0)))</f>
        <v>Enalapril</v>
      </c>
      <c r="C57" s="53">
        <f>IF($A57="","",COUNTIF(Hoja1!$D$2:$D$46,$A57))</f>
        <v>2</v>
      </c>
      <c r="D57" s="53">
        <f>IF($A57="","",SUMIF(Hoja1!$D$2:$D$46,$A57,Hoja1!$F$2:$F$46))</f>
        <v>60</v>
      </c>
      <c r="E57" s="28">
        <f>IF($A57="","",SUMIF(Hoja1!$D$2:$D$46,$A57,Hoja1!$I$2:$I$46))</f>
        <v>192</v>
      </c>
      <c r="F57" s="28">
        <f>IF($A57="","",E57/C57)</f>
        <v>96</v>
      </c>
    </row>
    <row r="58" spans="1:6" x14ac:dyDescent="0.25">
      <c r="A58" t="str">
        <v>Paracetamol 1g</v>
      </c>
      <c r="B58" t="str">
        <f>IF($A58="","",INDEX(Hoja1!$E$2:$E$46,MATCH($A58,Hoja1!$D$2:$D$46,0)))</f>
        <v>Paracetamol</v>
      </c>
      <c r="C58" s="53">
        <f>IF($A58="","",COUNTIF(Hoja1!$D$2:$D$46,$A58))</f>
        <v>2</v>
      </c>
      <c r="D58" s="53">
        <f>IF($A58="","",SUMIF(Hoja1!$D$2:$D$46,$A58,Hoja1!$F$2:$F$46))</f>
        <v>95</v>
      </c>
      <c r="E58" s="28">
        <f>IF($A58="","",SUMIF(Hoja1!$D$2:$D$46,$A58,Hoja1!$I$2:$I$46))</f>
        <v>199.5</v>
      </c>
      <c r="F58" s="28">
        <f t="shared" ref="F58:F90" si="4">IF($A58="","",E58/C58)</f>
        <v>99.75</v>
      </c>
    </row>
    <row r="59" spans="1:6" x14ac:dyDescent="0.25">
      <c r="A59" t="str">
        <v>Morfina 10mg/ml</v>
      </c>
      <c r="B59" t="str">
        <f>IF($A59="","",INDEX(Hoja1!$E$2:$E$46,MATCH($A59,Hoja1!$D$2:$D$46,0)))</f>
        <v>Morfina</v>
      </c>
      <c r="C59" s="53">
        <f>IF($A59="","",COUNTIF(Hoja1!$D$2:$D$46,$A59))</f>
        <v>1</v>
      </c>
      <c r="D59" s="53">
        <f>IF($A59="","",SUMIF(Hoja1!$D$2:$D$46,$A59,Hoja1!$F$2:$F$46))</f>
        <v>10</v>
      </c>
      <c r="E59" s="28">
        <f>IF($A59="","",SUMIF(Hoja1!$D$2:$D$46,$A59,Hoja1!$I$2:$I$46))</f>
        <v>45</v>
      </c>
      <c r="F59" s="28">
        <f t="shared" si="4"/>
        <v>45</v>
      </c>
    </row>
    <row r="60" spans="1:6" x14ac:dyDescent="0.25">
      <c r="A60" t="str">
        <v>Amoxicilina 250mg</v>
      </c>
      <c r="B60" t="str">
        <f>IF($A60="","",INDEX(Hoja1!$E$2:$E$46,MATCH($A60,Hoja1!$D$2:$D$46,0)))</f>
        <v>Amoxicilina</v>
      </c>
      <c r="C60" s="53">
        <f>IF($A60="","",COUNTIF(Hoja1!$D$2:$D$46,$A60))</f>
        <v>3</v>
      </c>
      <c r="D60" s="53">
        <f>IF($A60="","",SUMIF(Hoja1!$D$2:$D$46,$A60,Hoja1!$F$2:$F$46))</f>
        <v>60</v>
      </c>
      <c r="E60" s="28">
        <f>IF($A60="","",SUMIF(Hoja1!$D$2:$D$46,$A60,Hoja1!$I$2:$I$46))</f>
        <v>252</v>
      </c>
      <c r="F60" s="28">
        <f t="shared" si="4"/>
        <v>84</v>
      </c>
    </row>
    <row r="61" spans="1:6" x14ac:dyDescent="0.25">
      <c r="A61" t="str">
        <v>Furosemida 40mg</v>
      </c>
      <c r="B61" t="str">
        <f>IF($A61="","",INDEX(Hoja1!$E$2:$E$46,MATCH($A61,Hoja1!$D$2:$D$46,0)))</f>
        <v>Furosemida</v>
      </c>
      <c r="C61" s="53">
        <f>IF($A61="","",COUNTIF(Hoja1!$D$2:$D$46,$A61))</f>
        <v>1</v>
      </c>
      <c r="D61" s="53">
        <f>IF($A61="","",SUMIF(Hoja1!$D$2:$D$46,$A61,Hoja1!$F$2:$F$46))</f>
        <v>40</v>
      </c>
      <c r="E61" s="28">
        <f>IF($A61="","",SUMIF(Hoja1!$D$2:$D$46,$A61,Hoja1!$I$2:$I$46))</f>
        <v>38</v>
      </c>
      <c r="F61" s="28">
        <f t="shared" si="4"/>
        <v>38</v>
      </c>
    </row>
    <row r="62" spans="1:6" x14ac:dyDescent="0.25">
      <c r="A62" t="str">
        <v>Ondansetrón 8mg</v>
      </c>
      <c r="B62" t="str">
        <f>IF($A62="","",INDEX(Hoja1!$E$2:$E$46,MATCH($A62,Hoja1!$D$2:$D$46,0)))</f>
        <v>Ondansetrón</v>
      </c>
      <c r="C62" s="53">
        <f>IF($A62="","",COUNTIF(Hoja1!$D$2:$D$46,$A62))</f>
        <v>2</v>
      </c>
      <c r="D62" s="53">
        <f>IF($A62="","",SUMIF(Hoja1!$D$2:$D$46,$A62,Hoja1!$F$2:$F$46))</f>
        <v>30</v>
      </c>
      <c r="E62" s="28">
        <f>IF($A62="","",SUMIF(Hoja1!$D$2:$D$46,$A62,Hoja1!$I$2:$I$46))</f>
        <v>162</v>
      </c>
      <c r="F62" s="28">
        <f t="shared" si="4"/>
        <v>81</v>
      </c>
    </row>
    <row r="63" spans="1:6" x14ac:dyDescent="0.25">
      <c r="A63" t="str">
        <v>Metamizol 575mg</v>
      </c>
      <c r="B63" t="str">
        <f>IF($A63="","",INDEX(Hoja1!$E$2:$E$46,MATCH($A63,Hoja1!$D$2:$D$46,0)))</f>
        <v>Metamizol</v>
      </c>
      <c r="C63" s="53">
        <f>IF($A63="","",COUNTIF(Hoja1!$D$2:$D$46,$A63))</f>
        <v>2</v>
      </c>
      <c r="D63" s="53">
        <f>IF($A63="","",SUMIF(Hoja1!$D$2:$D$46,$A63,Hoja1!$F$2:$F$46))</f>
        <v>60</v>
      </c>
      <c r="E63" s="28">
        <f>IF($A63="","",SUMIF(Hoja1!$D$2:$D$46,$A63,Hoja1!$I$2:$I$46))</f>
        <v>72</v>
      </c>
      <c r="F63" s="28">
        <f t="shared" si="4"/>
        <v>36</v>
      </c>
    </row>
    <row r="64" spans="1:6" x14ac:dyDescent="0.25">
      <c r="A64" t="str">
        <v>Omeprazol 20mg</v>
      </c>
      <c r="B64" t="str">
        <f>IF($A64="","",INDEX(Hoja1!$E$2:$E$46,MATCH($A64,Hoja1!$D$2:$D$46,0)))</f>
        <v>Omeprazol</v>
      </c>
      <c r="C64" s="53">
        <f>IF($A64="","",COUNTIF(Hoja1!$D$2:$D$46,$A64))</f>
        <v>2</v>
      </c>
      <c r="D64" s="53">
        <f>IF($A64="","",SUMIF(Hoja1!$D$2:$D$46,$A64,Hoja1!$F$2:$F$46))</f>
        <v>60</v>
      </c>
      <c r="E64" s="28">
        <f>IF($A64="","",SUMIF(Hoja1!$D$2:$D$46,$A64,Hoja1!$I$2:$I$46))</f>
        <v>48</v>
      </c>
      <c r="F64" s="28">
        <f t="shared" si="4"/>
        <v>24</v>
      </c>
    </row>
    <row r="65" spans="1:6" x14ac:dyDescent="0.25">
      <c r="A65" t="str">
        <v>Enoxaparina 40mg</v>
      </c>
      <c r="B65" t="str">
        <f>IF($A65="","",INDEX(Hoja1!$E$2:$E$46,MATCH($A65,Hoja1!$D$2:$D$46,0)))</f>
        <v>Enoxaparina</v>
      </c>
      <c r="C65" s="53">
        <f>IF($A65="","",COUNTIF(Hoja1!$D$2:$D$46,$A65))</f>
        <v>2</v>
      </c>
      <c r="D65" s="53">
        <f>IF($A65="","",SUMIF(Hoja1!$D$2:$D$46,$A65,Hoja1!$F$2:$F$46))</f>
        <v>50</v>
      </c>
      <c r="E65" s="28">
        <f>IF($A65="","",SUMIF(Hoja1!$D$2:$D$46,$A65,Hoja1!$I$2:$I$46))</f>
        <v>315</v>
      </c>
      <c r="F65" s="28">
        <f t="shared" si="4"/>
        <v>157.5</v>
      </c>
    </row>
    <row r="66" spans="1:6" x14ac:dyDescent="0.25">
      <c r="A66" t="str">
        <v>Noradrenalina 1mg/ml</v>
      </c>
      <c r="B66" t="str">
        <f>IF($A66="","",INDEX(Hoja1!$E$2:$E$46,MATCH($A66,Hoja1!$D$2:$D$46,0)))</f>
        <v>Noradrenalina</v>
      </c>
      <c r="C66" s="53">
        <f>IF($A66="","",COUNTIF(Hoja1!$D$2:$D$46,$A66))</f>
        <v>1</v>
      </c>
      <c r="D66" s="53">
        <f>IF($A66="","",SUMIF(Hoja1!$D$2:$D$46,$A66,Hoja1!$F$2:$F$46))</f>
        <v>12</v>
      </c>
      <c r="E66" s="28">
        <f>IF($A66="","",SUMIF(Hoja1!$D$2:$D$46,$A66,Hoja1!$I$2:$I$46))</f>
        <v>46.8</v>
      </c>
      <c r="F66" s="28">
        <f t="shared" si="4"/>
        <v>46.8</v>
      </c>
    </row>
    <row r="67" spans="1:6" x14ac:dyDescent="0.25">
      <c r="A67" t="str">
        <v>Salbutamol inhalador</v>
      </c>
      <c r="B67" t="str">
        <f>IF($A67="","",INDEX(Hoja1!$E$2:$E$46,MATCH($A67,Hoja1!$D$2:$D$46,0)))</f>
        <v>Salbutamol</v>
      </c>
      <c r="C67" s="53">
        <f>IF($A67="","",COUNTIF(Hoja1!$D$2:$D$46,$A67))</f>
        <v>2</v>
      </c>
      <c r="D67" s="53">
        <f>IF($A67="","",SUMIF(Hoja1!$D$2:$D$46,$A67,Hoja1!$F$2:$F$46))</f>
        <v>36</v>
      </c>
      <c r="E67" s="28">
        <f>IF($A67="","",SUMIF(Hoja1!$D$2:$D$46,$A67,Hoja1!$I$2:$I$46))</f>
        <v>99</v>
      </c>
      <c r="F67" s="28">
        <f t="shared" si="4"/>
        <v>49.5</v>
      </c>
    </row>
    <row r="68" spans="1:6" x14ac:dyDescent="0.25">
      <c r="A68" t="str">
        <v>Digoxina 0,25mg</v>
      </c>
      <c r="B68" t="str">
        <f>IF($A68="","",INDEX(Hoja1!$E$2:$E$46,MATCH($A68,Hoja1!$D$2:$D$46,0)))</f>
        <v>Digoxina</v>
      </c>
      <c r="C68" s="53">
        <f>IF($A68="","",COUNTIF(Hoja1!$D$2:$D$46,$A68))</f>
        <v>1</v>
      </c>
      <c r="D68" s="53">
        <f>IF($A68="","",SUMIF(Hoja1!$D$2:$D$46,$A68,Hoja1!$F$2:$F$46))</f>
        <v>30</v>
      </c>
      <c r="E68" s="28">
        <f>IF($A68="","",SUMIF(Hoja1!$D$2:$D$46,$A68,Hoja1!$I$2:$I$46))</f>
        <v>33</v>
      </c>
      <c r="F68" s="28">
        <f t="shared" si="4"/>
        <v>33</v>
      </c>
    </row>
    <row r="69" spans="1:6" x14ac:dyDescent="0.25">
      <c r="A69" t="str">
        <v>Ibuprofeno 100mg/5ml</v>
      </c>
      <c r="B69" t="str">
        <f>IF($A69="","",INDEX(Hoja1!$E$2:$E$46,MATCH($A69,Hoja1!$D$2:$D$46,0)))</f>
        <v>Ibuprofeno</v>
      </c>
      <c r="C69" s="53">
        <f>IF($A69="","",COUNTIF(Hoja1!$D$2:$D$46,$A69))</f>
        <v>1</v>
      </c>
      <c r="D69" s="53">
        <f>IF($A69="","",SUMIF(Hoja1!$D$2:$D$46,$A69,Hoja1!$F$2:$F$46))</f>
        <v>10</v>
      </c>
      <c r="E69" s="28">
        <f>IF($A69="","",SUMIF(Hoja1!$D$2:$D$46,$A69,Hoja1!$I$2:$I$46))</f>
        <v>24</v>
      </c>
      <c r="F69" s="28">
        <f t="shared" si="4"/>
        <v>24</v>
      </c>
    </row>
    <row r="70" spans="1:6" x14ac:dyDescent="0.25">
      <c r="A70" t="str">
        <v>Filgrastim 30MU</v>
      </c>
      <c r="B70" t="str">
        <f>IF($A70="","",INDEX(Hoja1!$E$2:$E$46,MATCH($A70,Hoja1!$D$2:$D$46,0)))</f>
        <v>Filgrastim</v>
      </c>
      <c r="C70" s="53">
        <f>IF($A70="","",COUNTIF(Hoja1!$D$2:$D$46,$A70))</f>
        <v>2</v>
      </c>
      <c r="D70" s="53">
        <f>IF($A70="","",SUMIF(Hoja1!$D$2:$D$46,$A70,Hoja1!$F$2:$F$46))</f>
        <v>16</v>
      </c>
      <c r="E70" s="28">
        <f>IF($A70="","",SUMIF(Hoja1!$D$2:$D$46,$A70,Hoja1!$I$2:$I$46))</f>
        <v>1920</v>
      </c>
      <c r="F70" s="28">
        <f t="shared" si="4"/>
        <v>960</v>
      </c>
    </row>
    <row r="71" spans="1:6" x14ac:dyDescent="0.25">
      <c r="A71" t="str">
        <v>Adrenalina 1mg/ml</v>
      </c>
      <c r="B71" t="str">
        <f>IF($A71="","",INDEX(Hoja1!$E$2:$E$46,MATCH($A71,Hoja1!$D$2:$D$46,0)))</f>
        <v>Adrenalina</v>
      </c>
      <c r="C71" s="53">
        <f>IF($A71="","",COUNTIF(Hoja1!$D$2:$D$46,$A71))</f>
        <v>1</v>
      </c>
      <c r="D71" s="53">
        <f>IF($A71="","",SUMIF(Hoja1!$D$2:$D$46,$A71,Hoja1!$F$2:$F$46))</f>
        <v>-5</v>
      </c>
      <c r="E71" s="28">
        <f>IF($A71="","",SUMIF(Hoja1!$D$2:$D$46,$A71,Hoja1!$I$2:$I$46))</f>
        <v>-9.75</v>
      </c>
      <c r="F71" s="28">
        <f t="shared" si="4"/>
        <v>-9.75</v>
      </c>
    </row>
    <row r="72" spans="1:6" x14ac:dyDescent="0.25">
      <c r="A72" t="str">
        <v>Insulina glargina</v>
      </c>
      <c r="B72" t="str">
        <f>IF($A72="","",INDEX(Hoja1!$E$2:$E$46,MATCH($A72,Hoja1!$D$2:$D$46,0)))</f>
        <v>Insulina</v>
      </c>
      <c r="C72" s="53">
        <f>IF($A72="","",COUNTIF(Hoja1!$D$2:$D$46,$A72))</f>
        <v>1</v>
      </c>
      <c r="D72" s="53">
        <f>IF($A72="","",SUMIF(Hoja1!$D$2:$D$46,$A72,Hoja1!$F$2:$F$46))</f>
        <v>14</v>
      </c>
      <c r="E72" s="28">
        <f>IF($A72="","",SUMIF(Hoja1!$D$2:$D$46,$A72,Hoja1!$I$2:$I$46))</f>
        <v>420</v>
      </c>
      <c r="F72" s="28">
        <f t="shared" si="4"/>
        <v>420</v>
      </c>
    </row>
    <row r="73" spans="1:6" x14ac:dyDescent="0.25">
      <c r="A73" t="str">
        <v>Warfarina 5mg</v>
      </c>
      <c r="B73" t="str">
        <f>IF($A73="","",INDEX(Hoja1!$E$2:$E$46,MATCH($A73,Hoja1!$D$2:$D$46,0)))</f>
        <v>Warfarina</v>
      </c>
      <c r="C73" s="53">
        <f>IF($A73="","",COUNTIF(Hoja1!$D$2:$D$46,$A73))</f>
        <v>1</v>
      </c>
      <c r="D73" s="53">
        <f>IF($A73="","",SUMIF(Hoja1!$D$2:$D$46,$A73,Hoja1!$F$2:$F$46))</f>
        <v>30</v>
      </c>
      <c r="E73" s="28">
        <f>IF($A73="","",SUMIF(Hoja1!$D$2:$D$46,$A73,Hoja1!$I$2:$I$46))</f>
        <v>40.5</v>
      </c>
      <c r="F73" s="28">
        <f t="shared" si="4"/>
        <v>40.5</v>
      </c>
    </row>
    <row r="74" spans="1:6" x14ac:dyDescent="0.25">
      <c r="A74" t="str">
        <v>Budesonida inhalador</v>
      </c>
      <c r="B74" t="str">
        <f>IF($A74="","",INDEX(Hoja1!$E$2:$E$46,MATCH($A74,Hoja1!$D$2:$D$46,0)))</f>
        <v>Budesonida</v>
      </c>
      <c r="C74" s="53">
        <f>IF($A74="","",COUNTIF(Hoja1!$D$2:$D$46,$A74))</f>
        <v>1</v>
      </c>
      <c r="D74" s="53">
        <f>IF($A74="","",SUMIF(Hoja1!$D$2:$D$46,$A74,Hoja1!$F$2:$F$46))</f>
        <v>16</v>
      </c>
      <c r="E74" s="28">
        <f>IF($A74="","",SUMIF(Hoja1!$D$2:$D$46,$A74,Hoja1!$I$2:$I$46))</f>
        <v>67.2</v>
      </c>
      <c r="F74" s="28">
        <f t="shared" si="4"/>
        <v>67.2</v>
      </c>
    </row>
    <row r="75" spans="1:6" x14ac:dyDescent="0.25">
      <c r="A75" t="str">
        <v>Propofol 200mg</v>
      </c>
      <c r="B75" t="str">
        <f>IF($A75="","",INDEX(Hoja1!$E$2:$E$46,MATCH($A75,Hoja1!$D$2:$D$46,0)))</f>
        <v>Propofol</v>
      </c>
      <c r="C75" s="53">
        <f>IF($A75="","",COUNTIF(Hoja1!$D$2:$D$46,$A75))</f>
        <v>2</v>
      </c>
      <c r="D75" s="53">
        <f>IF($A75="","",SUMIF(Hoja1!$D$2:$D$46,$A75,Hoja1!$F$2:$F$46))</f>
        <v>35</v>
      </c>
      <c r="E75" s="28">
        <f>IF($A75="","",SUMIF(Hoja1!$D$2:$D$46,$A75,Hoja1!$I$2:$I$46))</f>
        <v>312</v>
      </c>
      <c r="F75" s="28">
        <f t="shared" si="4"/>
        <v>156</v>
      </c>
    </row>
    <row r="76" spans="1:6" x14ac:dyDescent="0.25">
      <c r="A76" t="str">
        <v>Ceftriaxona 1g</v>
      </c>
      <c r="B76" t="str">
        <f>IF($A76="","",INDEX(Hoja1!$E$2:$E$46,MATCH($A76,Hoja1!$D$2:$D$46,0)))</f>
        <v>Ceftriaxona</v>
      </c>
      <c r="C76" s="53">
        <f>IF($A76="","",COUNTIF(Hoja1!$D$2:$D$46,$A76))</f>
        <v>1</v>
      </c>
      <c r="D76" s="53">
        <f>IF($A76="","",SUMIF(Hoja1!$D$2:$D$46,$A76,Hoja1!$F$2:$F$46))</f>
        <v>22</v>
      </c>
      <c r="E76" s="28">
        <f>IF($A76="","",SUMIF(Hoja1!$D$2:$D$46,$A76,Hoja1!$I$2:$I$46))</f>
        <v>68.2</v>
      </c>
      <c r="F76" s="28">
        <f t="shared" si="4"/>
        <v>68.2</v>
      </c>
    </row>
    <row r="77" spans="1:6" x14ac:dyDescent="0.25">
      <c r="A77" t="str">
        <v>Metformina 850mg</v>
      </c>
      <c r="B77" t="str">
        <f>IF($A77="","",INDEX(Hoja1!$E$2:$E$46,MATCH($A77,Hoja1!$D$2:$D$46,0)))</f>
        <v>Metformina</v>
      </c>
      <c r="C77" s="53">
        <f>IF($A77="","",COUNTIF(Hoja1!$D$2:$D$46,$A77))</f>
        <v>2</v>
      </c>
      <c r="D77" s="53">
        <f>IF($A77="","",SUMIF(Hoja1!$D$2:$D$46,$A77,Hoja1!$F$2:$F$46))</f>
        <v>180</v>
      </c>
      <c r="E77" s="28">
        <f>IF($A77="","",SUMIF(Hoja1!$D$2:$D$46,$A77,Hoja1!$I$2:$I$46))</f>
        <v>126</v>
      </c>
      <c r="F77" s="28">
        <f t="shared" si="4"/>
        <v>63</v>
      </c>
    </row>
    <row r="78" spans="1:6" x14ac:dyDescent="0.25">
      <c r="A78" t="str">
        <v>Bisoprolol 5mg</v>
      </c>
      <c r="B78" t="str">
        <f>IF($A78="","",INDEX(Hoja1!$E$2:$E$46,MATCH($A78,Hoja1!$D$2:$D$46,0)))</f>
        <v>Bisoprolol</v>
      </c>
      <c r="C78" s="53">
        <f>IF($A78="","",COUNTIF(Hoja1!$D$2:$D$46,$A78))</f>
        <v>1</v>
      </c>
      <c r="D78" s="53">
        <f>IF($A78="","",SUMIF(Hoja1!$D$2:$D$46,$A78,Hoja1!$F$2:$F$46))</f>
        <v>30</v>
      </c>
      <c r="E78" s="28">
        <f>IF($A78="","",SUMIF(Hoja1!$D$2:$D$46,$A78,Hoja1!$I$2:$I$46))</f>
        <v>31.5</v>
      </c>
      <c r="F78" s="28">
        <f t="shared" si="4"/>
        <v>31.5</v>
      </c>
    </row>
    <row r="79" spans="1:6" x14ac:dyDescent="0.25">
      <c r="A79" t="str">
        <v>Midazolam 5mg/ml</v>
      </c>
      <c r="B79" t="str">
        <f>IF($A79="","",INDEX(Hoja1!$E$2:$E$46,MATCH($A79,Hoja1!$D$2:$D$46,0)))</f>
        <v>Midazolam</v>
      </c>
      <c r="C79" s="53">
        <f>IF($A79="","",COUNTIF(Hoja1!$D$2:$D$46,$A79))</f>
        <v>1</v>
      </c>
      <c r="D79" s="53">
        <f>IF($A79="","",SUMIF(Hoja1!$D$2:$D$46,$A79,Hoja1!$F$2:$F$46))</f>
        <v>16</v>
      </c>
      <c r="E79" s="28">
        <f>IF($A79="","",SUMIF(Hoja1!$D$2:$D$46,$A79,Hoja1!$I$2:$I$46))</f>
        <v>41.6</v>
      </c>
      <c r="F79" s="28">
        <f t="shared" si="4"/>
        <v>41.6</v>
      </c>
    </row>
    <row r="80" spans="1:6" x14ac:dyDescent="0.25">
      <c r="A80" t="str">
        <v>Dexametasona 4mg</v>
      </c>
      <c r="B80" t="str">
        <f>IF($A80="","",INDEX(Hoja1!$E$2:$E$46,MATCH($A80,Hoja1!$D$2:$D$46,0)))</f>
        <v>Dexametasona</v>
      </c>
      <c r="C80" s="53">
        <f>IF($A80="","",COUNTIF(Hoja1!$D$2:$D$46,$A80))</f>
        <v>2</v>
      </c>
      <c r="D80" s="53">
        <f>IF($A80="","",SUMIF(Hoja1!$D$2:$D$46,$A80,Hoja1!$F$2:$F$46))</f>
        <v>290</v>
      </c>
      <c r="E80" s="28">
        <f>IF($A80="","",SUMIF(Hoja1!$D$2:$D$46,$A80,Hoja1!$I$2:$I$46))</f>
        <v>159.5</v>
      </c>
      <c r="F80" s="28">
        <f t="shared" si="4"/>
        <v>79.75</v>
      </c>
    </row>
    <row r="81" spans="1:6" x14ac:dyDescent="0.25">
      <c r="A81" t="str">
        <v>Diazepam 10mg</v>
      </c>
      <c r="B81" t="str">
        <f>IF($A81="","",INDEX(Hoja1!$E$2:$E$46,MATCH($A81,Hoja1!$D$2:$D$46,0)))</f>
        <v>Diazepam</v>
      </c>
      <c r="C81" s="53">
        <f>IF($A81="","",COUNTIF(Hoja1!$D$2:$D$46,$A81))</f>
        <v>1</v>
      </c>
      <c r="D81" s="53">
        <f>IF($A81="","",SUMIF(Hoja1!$D$2:$D$46,$A81,Hoja1!$F$2:$F$46))</f>
        <v>25</v>
      </c>
      <c r="E81" s="28">
        <f>IF($A81="","",SUMIF(Hoja1!$D$2:$D$46,$A81,Hoja1!$I$2:$I$46))</f>
        <v>22.5</v>
      </c>
      <c r="F81" s="28">
        <f t="shared" si="4"/>
        <v>22.5</v>
      </c>
    </row>
    <row r="82" spans="1:6" x14ac:dyDescent="0.25">
      <c r="A82" t="str">
        <v>Atorvastatina 40mg</v>
      </c>
      <c r="B82" t="str">
        <f>IF($A82="","",INDEX(Hoja1!$E$2:$E$46,MATCH($A82,Hoja1!$D$2:$D$46,0)))</f>
        <v>Atorvastatina</v>
      </c>
      <c r="C82" s="53">
        <f>IF($A82="","",COUNTIF(Hoja1!$D$2:$D$46,$A82))</f>
        <v>2</v>
      </c>
      <c r="D82" s="53">
        <f>IF($A82="","",SUMIF(Hoja1!$D$2:$D$46,$A82,Hoja1!$F$2:$F$46))</f>
        <v>60</v>
      </c>
      <c r="E82" s="28">
        <f>IF($A82="","",SUMIF(Hoja1!$D$2:$D$46,$A82,Hoja1!$I$2:$I$46))</f>
        <v>75</v>
      </c>
      <c r="F82" s="28">
        <f t="shared" si="4"/>
        <v>37.5</v>
      </c>
    </row>
    <row r="83" spans="1:6" x14ac:dyDescent="0.25">
      <c r="A83" t="str">
        <v>Paracetamol 100mg/ml</v>
      </c>
      <c r="B83" t="str">
        <f>IF($A83="","",INDEX(Hoja1!$E$2:$E$46,MATCH($A83,Hoja1!$D$2:$D$46,0)))</f>
        <v>Paracetamol</v>
      </c>
      <c r="C83" s="53">
        <f>IF($A83="","",COUNTIF(Hoja1!$D$2:$D$46,$A83))</f>
        <v>1</v>
      </c>
      <c r="D83" s="53">
        <f>IF($A83="","",SUMIF(Hoja1!$D$2:$D$46,$A83,Hoja1!$F$2:$F$46))</f>
        <v>12</v>
      </c>
      <c r="E83" s="28">
        <f>IF($A83="","",SUMIF(Hoja1!$D$2:$D$46,$A83,Hoja1!$I$2:$I$46))</f>
        <v>27.6</v>
      </c>
      <c r="F83" s="28">
        <f t="shared" si="4"/>
        <v>27.6</v>
      </c>
    </row>
    <row r="84" spans="1:6" x14ac:dyDescent="0.25">
      <c r="A84" t="str">
        <v>Tramadol 50mg</v>
      </c>
      <c r="B84" t="str">
        <f>IF($A84="","",INDEX(Hoja1!$E$2:$E$46,MATCH($A84,Hoja1!$D$2:$D$46,0)))</f>
        <v>Tramadol</v>
      </c>
      <c r="C84" s="53">
        <f>IF($A84="","",COUNTIF(Hoja1!$D$2:$D$46,$A84))</f>
        <v>2</v>
      </c>
      <c r="D84" s="53">
        <f>IF($A84="","",SUMIF(Hoja1!$D$2:$D$46,$A84,Hoja1!$F$2:$F$46))</f>
        <v>60</v>
      </c>
      <c r="E84" s="28">
        <f>IF($A84="","",SUMIF(Hoja1!$D$2:$D$46,$A84,Hoja1!$I$2:$I$46))</f>
        <v>69</v>
      </c>
      <c r="F84" s="28">
        <f t="shared" si="4"/>
        <v>34.5</v>
      </c>
    </row>
    <row r="85" spans="1:6" x14ac:dyDescent="0.25">
      <c r="A85" t="str">
        <v>Heparina sódica 5000UI</v>
      </c>
      <c r="B85" t="str">
        <f>IF($A85="","",INDEX(Hoja1!$E$2:$E$46,MATCH($A85,Hoja1!$D$2:$D$46,0)))</f>
        <v>Heparina</v>
      </c>
      <c r="C85" s="53">
        <f>IF($A85="","",COUNTIF(Hoja1!$D$2:$D$46,$A85))</f>
        <v>1</v>
      </c>
      <c r="D85" s="53">
        <f>IF($A85="","",SUMIF(Hoja1!$D$2:$D$46,$A85,Hoja1!$F$2:$F$46))</f>
        <v>20</v>
      </c>
      <c r="E85" s="28">
        <f>IF($A85="","",SUMIF(Hoja1!$D$2:$D$46,$A85,Hoja1!$I$2:$I$46))</f>
        <v>59</v>
      </c>
      <c r="F85" s="28">
        <f t="shared" si="4"/>
        <v>59</v>
      </c>
    </row>
    <row r="86" spans="1:6" x14ac:dyDescent="0.25">
      <c r="A86" t="str">
        <v>Tiotropio inhalador</v>
      </c>
      <c r="B86" t="str">
        <f>IF($A86="","",INDEX(Hoja1!$E$2:$E$46,MATCH($A86,Hoja1!$D$2:$D$46,0)))</f>
        <v>Tiotropio</v>
      </c>
      <c r="C86" s="53">
        <f>IF($A86="","",COUNTIF(Hoja1!$D$2:$D$46,$A86))</f>
        <v>1</v>
      </c>
      <c r="D86" s="53">
        <f>IF($A86="","",SUMIF(Hoja1!$D$2:$D$46,$A86,Hoja1!$F$2:$F$46))</f>
        <v>14</v>
      </c>
      <c r="E86" s="28">
        <f>IF($A86="","",SUMIF(Hoja1!$D$2:$D$46,$A86,Hoja1!$I$2:$I$46))</f>
        <v>71.400000000000006</v>
      </c>
      <c r="F86" s="28">
        <f t="shared" si="4"/>
        <v>71.400000000000006</v>
      </c>
    </row>
    <row r="87" spans="1:6" x14ac:dyDescent="0.25">
      <c r="C87" s="53"/>
      <c r="D87" s="53"/>
      <c r="E87" s="28"/>
      <c r="F87" s="28"/>
    </row>
    <row r="88" spans="1:6" x14ac:dyDescent="0.25">
      <c r="A88" s="32" t="s">
        <v>344</v>
      </c>
      <c r="C88" s="55">
        <f>SUM(C57:C86)</f>
        <v>45</v>
      </c>
      <c r="D88" s="55">
        <f>SUM(D57:D86)</f>
        <v>1388</v>
      </c>
      <c r="E88" s="56">
        <f>SUM(E57:E86)</f>
        <v>5027.55</v>
      </c>
      <c r="F88" s="56">
        <f>E88/C88</f>
        <v>111.72333333333334</v>
      </c>
    </row>
    <row r="89" spans="1:6" x14ac:dyDescent="0.25">
      <c r="C89" s="53"/>
      <c r="D89" s="53"/>
      <c r="E89" s="28"/>
      <c r="F89" s="28"/>
    </row>
    <row r="90" spans="1:6" ht="15.75" x14ac:dyDescent="0.25">
      <c r="A90" s="48" t="s">
        <v>384</v>
      </c>
      <c r="C90" s="53"/>
      <c r="D90" s="53"/>
      <c r="E90" s="28"/>
      <c r="F90" s="28"/>
    </row>
    <row r="91" spans="1:6" x14ac:dyDescent="0.25">
      <c r="A91" s="50" t="s">
        <v>385</v>
      </c>
      <c r="B91" s="52" t="s">
        <v>386</v>
      </c>
      <c r="C91" s="52" t="s">
        <v>387</v>
      </c>
    </row>
    <row r="92" spans="1:6" x14ac:dyDescent="0.25">
      <c r="A92" t="str" cm="1">
        <f t="array" ref="A92:A96">_xlfn.UNIQUE(Hoja1!R2:R46)</f>
        <v>Seguimiento clínico</v>
      </c>
      <c r="B92" s="53">
        <f>IF($A92="","",COUNTIF(Hoja1!$R$2:$R$46,$A92))</f>
        <v>35</v>
      </c>
      <c r="C92" s="54">
        <f>IF($A92="","",B92/COUNTA(Hoja1!$R$2:$R$46))</f>
        <v>0.77777777777777779</v>
      </c>
    </row>
    <row r="93" spans="1:6" x14ac:dyDescent="0.25">
      <c r="A93" t="str">
        <v>Estupefacientes</v>
      </c>
      <c r="B93" s="53">
        <f>IF($A93="","",COUNTIF(Hoja1!$R$2:$R$46,$A93))</f>
        <v>1</v>
      </c>
      <c r="C93" s="54">
        <f>IF($A93="","",B93/COUNTA(Hoja1!$R$2:$R$46))</f>
        <v>2.2222222222222223E-2</v>
      </c>
    </row>
    <row r="94" spans="1:6" x14ac:dyDescent="0.25">
      <c r="A94" t="str">
        <v>Alergia</v>
      </c>
      <c r="B94" s="53">
        <f>IF($A94="","",COUNTIF(Hoja1!$R$2:$R$46,$A94))</f>
        <v>1</v>
      </c>
      <c r="C94" s="54">
        <f>IF($A94="","",B94/COUNTA(Hoja1!$R$2:$R$46))</f>
        <v>2.2222222222222223E-2</v>
      </c>
    </row>
    <row r="95" spans="1:6" x14ac:dyDescent="0.25">
      <c r="A95" t="str">
        <v>Reacción adversa</v>
      </c>
      <c r="B95" s="53">
        <f>IF($A95="","",COUNTIF(Hoja1!$R$2:$R$46,$A95))</f>
        <v>2</v>
      </c>
      <c r="C95" s="54">
        <f>IF($A95="","",B95/COUNTA(Hoja1!$R$2:$R$46))</f>
        <v>4.4444444444444446E-2</v>
      </c>
    </row>
    <row r="96" spans="1:6" x14ac:dyDescent="0.25">
      <c r="A96" t="str">
        <v>Stock/Incidencia</v>
      </c>
      <c r="B96" s="53">
        <f>IF($A96="","",COUNTIF(Hoja1!$R$2:$R$46,$A96))</f>
        <v>6</v>
      </c>
      <c r="C96" s="54">
        <f>IF($A96="","",B96/COUNTA(Hoja1!$R$2:$R$46))</f>
        <v>0.13333333333333333</v>
      </c>
    </row>
    <row r="97" spans="1:3" x14ac:dyDescent="0.25">
      <c r="B97" s="53"/>
      <c r="C97" s="54"/>
    </row>
    <row r="98" spans="1:3" x14ac:dyDescent="0.25">
      <c r="A98" s="32" t="s">
        <v>344</v>
      </c>
      <c r="B98" s="55">
        <f>SUM(B92:B96)</f>
        <v>45</v>
      </c>
      <c r="C98" s="57">
        <f>SUM(C92:C96)</f>
        <v>1</v>
      </c>
    </row>
    <row r="100" spans="1:3" ht="15.75" x14ac:dyDescent="0.25">
      <c r="A100" s="48" t="s">
        <v>388</v>
      </c>
    </row>
    <row r="101" spans="1:3" x14ac:dyDescent="0.25">
      <c r="A101" s="50" t="s">
        <v>389</v>
      </c>
      <c r="B101" s="52" t="s">
        <v>375</v>
      </c>
      <c r="C101" s="52" t="s">
        <v>377</v>
      </c>
    </row>
    <row r="102" spans="1:3" x14ac:dyDescent="0.25">
      <c r="A102" s="58" cm="1">
        <f t="array" ref="A102:A104">_xlfn._xlws.SORT(_xlfn.UNIQUE(DATE(YEAR(Hoja1!B2:B46),MONTH(Hoja1!B2:B46),1)))</f>
        <v>45658</v>
      </c>
      <c r="B102" s="53" cm="1">
        <f t="array" ref="B102">IF($A102="","",SUMPRODUCT((DATE(YEAR(Hoja1!$B$2:$B$46),MONTH(Hoja1!$B$2:$B$46),1)=$A102)*1))</f>
        <v>1</v>
      </c>
      <c r="C102" s="28" cm="1">
        <f t="array" ref="C102">IF($A102="","",SUMPRODUCT((DATE(YEAR(Hoja1!$B$2:$B$46),MONTH(Hoja1!$B$2:$B$46),1)=$A102)*Hoja1!$I$2:$I$46))</f>
        <v>22.5</v>
      </c>
    </row>
    <row r="103" spans="1:3" x14ac:dyDescent="0.25">
      <c r="A103" s="58">
        <v>45689</v>
      </c>
      <c r="B103" s="53" cm="1">
        <f t="array" ref="B103">IF($A103="","",SUMPRODUCT((DATE(YEAR(Hoja1!$B$2:$B$46),MONTH(Hoja1!$B$2:$B$46),1)=$A103)*1))</f>
        <v>27</v>
      </c>
      <c r="C103" s="28" cm="1">
        <f t="array" ref="C103">IF($A103="","",SUMPRODUCT((DATE(YEAR(Hoja1!$B$2:$B$46),MONTH(Hoja1!$B$2:$B$46),1)=$A103)*Hoja1!$I$2:$I$46))</f>
        <v>3091.5499999999997</v>
      </c>
    </row>
    <row r="104" spans="1:3" x14ac:dyDescent="0.25">
      <c r="A104" s="58">
        <v>45717</v>
      </c>
      <c r="B104" s="53" cm="1">
        <f t="array" ref="B104">IF($A104="","",SUMPRODUCT((DATE(YEAR(Hoja1!$B$2:$B$46),MONTH(Hoja1!$B$2:$B$46),1)=$A104)*1))</f>
        <v>17</v>
      </c>
      <c r="C104" s="28" cm="1">
        <f t="array" ref="C104">IF($A104="","",SUMPRODUCT((DATE(YEAR(Hoja1!$B$2:$B$46),MONTH(Hoja1!$B$2:$B$46),1)=$A104)*Hoja1!$I$2:$I$46))</f>
        <v>1913.5</v>
      </c>
    </row>
    <row r="105" spans="1:3" x14ac:dyDescent="0.25">
      <c r="A105" s="32" t="s">
        <v>344</v>
      </c>
      <c r="B105" s="55">
        <f>SUM(B102:B104)</f>
        <v>45</v>
      </c>
      <c r="C105" s="56">
        <f>SUM(C102:C104)</f>
        <v>5027.5499999999993</v>
      </c>
    </row>
    <row r="107" spans="1:3" ht="15.75" x14ac:dyDescent="0.25">
      <c r="A107" s="48" t="s">
        <v>390</v>
      </c>
    </row>
    <row r="108" spans="1:3" x14ac:dyDescent="0.25">
      <c r="A108" s="50" t="s">
        <v>356</v>
      </c>
      <c r="B108" s="52" t="s">
        <v>357</v>
      </c>
    </row>
    <row r="109" spans="1:3" x14ac:dyDescent="0.25">
      <c r="A109" t="s">
        <v>391</v>
      </c>
      <c r="B109" s="53">
        <f>COUNTIF(Hoja1!F2:F46,"&lt;0")</f>
        <v>1</v>
      </c>
    </row>
    <row r="110" spans="1:3" x14ac:dyDescent="0.25">
      <c r="A110" t="s">
        <v>392</v>
      </c>
      <c r="B110" s="53">
        <f>COUNTBLANK(Hoja1!J2:J46)</f>
        <v>1</v>
      </c>
    </row>
    <row r="111" spans="1:3" x14ac:dyDescent="0.25">
      <c r="A111" t="s">
        <v>393</v>
      </c>
      <c r="B111" s="53">
        <f>COUNTBLANK(Hoja1!F2:F46)</f>
        <v>1</v>
      </c>
    </row>
    <row r="112" spans="1:3" x14ac:dyDescent="0.25">
      <c r="A112" t="s">
        <v>394</v>
      </c>
      <c r="B112" s="31">
        <f>MIN(Hoja1!B2:B46)</f>
        <v>45660</v>
      </c>
    </row>
    <row r="113" spans="1:2" x14ac:dyDescent="0.25">
      <c r="A113" t="s">
        <v>395</v>
      </c>
      <c r="B113" s="31">
        <f>MAX(Hoja1!B2:B46)</f>
        <v>45732</v>
      </c>
    </row>
    <row r="114" spans="1:2" x14ac:dyDescent="0.25">
      <c r="A114" t="s">
        <v>396</v>
      </c>
      <c r="B114" s="53">
        <f>B113-B112</f>
        <v>72</v>
      </c>
    </row>
  </sheetData>
  <conditionalFormatting sqref="D25:D3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9:D4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8:D5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7:E8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2:C10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Auxiliar</vt:lpstr>
      <vt:lpstr>Registro de cambios</vt:lpstr>
      <vt:lpstr>Hoja1</vt:lpstr>
      <vt:lpstr>Guía</vt:lpstr>
      <vt:lpstr>Ejemplo resuelto</vt:lpstr>
      <vt:lpstr>TablaDinámica</vt:lpstr>
      <vt:lpstr>GráficoDinámico</vt:lpstr>
      <vt:lpstr>KPIs</vt:lpstr>
      <vt:lpstr>ListaFarmaceuticos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TORRES GIL</dc:creator>
  <cp:lastModifiedBy>MANUEL TORRES GIL</cp:lastModifiedBy>
  <dcterms:created xsi:type="dcterms:W3CDTF">2026-07-06T12:15:00Z</dcterms:created>
  <dcterms:modified xsi:type="dcterms:W3CDTF">2026-07-14T08:48:21Z</dcterms:modified>
</cp:coreProperties>
</file>